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04_Website\Support\Application Notes\AN-PJ2001\"/>
    </mc:Choice>
  </mc:AlternateContent>
  <workbookProtection workbookAlgorithmName="SHA-512" workbookHashValue="XS92o4XH3RntzqcavmezV2kUFSfbaTLgFT8lJcb8pxmDQZJ98WY93o7PF0pAhnLp4bjEG6CFmABUipemL10EEQ==" workbookSaltValue="lwuPRvb1J4EAt6bF43KZ3g==" workbookSpinCount="100000" lockStructure="1"/>
  <bookViews>
    <workbookView xWindow="-28910" yWindow="-110" windowWidth="29020" windowHeight="15700"/>
  </bookViews>
  <sheets>
    <sheet name="TVS tool for load dump 5a" sheetId="7" r:id="rId1"/>
    <sheet name="SUMMARY" sheetId="8" state="hidden" r:id="rId2"/>
    <sheet name="工作表2" sheetId="9" state="hidden" r:id="rId3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AAA" localSheetId="1">#REF!</definedName>
    <definedName name="AAA" localSheetId="0">#REF!</definedName>
    <definedName name="AAA">#REF!</definedName>
    <definedName name="aaaaaa" localSheetId="1">#REF!</definedName>
    <definedName name="aaaaaa">#REF!</definedName>
    <definedName name="BBB" localSheetId="1">#REF!</definedName>
    <definedName name="BBB" localSheetId="0">#REF!</definedName>
    <definedName name="BBB">#REF!</definedName>
    <definedName name="_xlnm.Database" localSheetId="1">#REF!</definedName>
    <definedName name="_xlnm.Database" localSheetId="0">#REF!</definedName>
    <definedName name="_xlnm.Database">#REF!</definedName>
    <definedName name="ESD" localSheetId="1">#REF!</definedName>
    <definedName name="ESD" localSheetId="0">#REF!</definedName>
    <definedName name="ESD">#REF!</definedName>
    <definedName name="F" localSheetId="1">#REF!</definedName>
    <definedName name="F" localSheetId="0">#REF!</definedName>
    <definedName name="F">#REF!</definedName>
    <definedName name="IRSM" localSheetId="1">#REF!</definedName>
    <definedName name="IRSM" localSheetId="0">#REF!</definedName>
    <definedName name="IRSM">#REF!</definedName>
    <definedName name="QQ" localSheetId="1">#REF!</definedName>
    <definedName name="QQ" localSheetId="0">#REF!</definedName>
    <definedName name="QQ">#REF!</definedName>
    <definedName name="sssss" localSheetId="1">#REF!</definedName>
    <definedName name="sssss" localSheetId="0">#REF!</definedName>
    <definedName name="sssss">#REF!</definedName>
    <definedName name="XSS" localSheetId="1">#REF!</definedName>
    <definedName name="XSS" localSheetId="0">#REF!</definedName>
    <definedName name="X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9" l="1"/>
  <c r="O12" i="9" s="1"/>
  <c r="AO13" i="8" s="1"/>
  <c r="BD12" i="8"/>
  <c r="BD13" i="8" s="1"/>
  <c r="BG12" i="8"/>
  <c r="BG13" i="8" s="1"/>
  <c r="D36" i="7"/>
  <c r="P12" i="9" l="1"/>
  <c r="I13" i="7" s="1"/>
  <c r="N12" i="9"/>
  <c r="AO12" i="8" s="1"/>
  <c r="BA12" i="8" s="1"/>
  <c r="BA13" i="8" s="1"/>
  <c r="L12" i="9"/>
  <c r="AO10" i="8" s="1"/>
  <c r="M12" i="9"/>
  <c r="AO11" i="8" s="1"/>
  <c r="AP12" i="8" l="1"/>
  <c r="AP13" i="8"/>
  <c r="AN14" i="8" l="1"/>
  <c r="AN16" i="8"/>
  <c r="AN17" i="8" s="1"/>
  <c r="AN15" i="8"/>
  <c r="F31" i="7" l="1"/>
  <c r="AQ12" i="8"/>
  <c r="AQ13" i="8"/>
  <c r="AX12" i="8" l="1"/>
  <c r="AX13" i="8" s="1"/>
  <c r="F32" i="7"/>
  <c r="AM16" i="8"/>
  <c r="AL6" i="8" l="1"/>
  <c r="AK6" i="8"/>
  <c r="AP10" i="8"/>
  <c r="AP11" i="8"/>
  <c r="AQ11" i="8" l="1"/>
  <c r="AR10" i="8"/>
  <c r="AQ10" i="8"/>
  <c r="AR11" i="8"/>
  <c r="AR13" i="8" l="1"/>
  <c r="AR12" i="8"/>
  <c r="AM15" i="8" l="1"/>
  <c r="AL16" i="8" l="1"/>
  <c r="AL17" i="8" s="1"/>
  <c r="AL15" i="8"/>
  <c r="AO17" i="8" l="1"/>
  <c r="AR17" i="8" s="1"/>
  <c r="AQ17" i="8"/>
  <c r="AP17" i="8"/>
  <c r="AQ14" i="8" l="1"/>
  <c r="AP14" i="8" s="1"/>
  <c r="AO14" i="8" l="1"/>
  <c r="AR14" i="8" s="1"/>
  <c r="AQ16" i="8"/>
  <c r="AP16" i="8" s="1"/>
  <c r="AQ15" i="8"/>
  <c r="AP15" i="8" s="1"/>
  <c r="AO15" i="8" s="1"/>
  <c r="AR15" i="8" s="1"/>
  <c r="AO16" i="8" l="1"/>
  <c r="AR16" i="8" l="1"/>
  <c r="F36" i="7"/>
  <c r="F23" i="7" s="1"/>
  <c r="F24" i="7" s="1"/>
  <c r="F18" i="7" l="1"/>
  <c r="F19" i="7" s="1"/>
  <c r="F29" i="7" l="1"/>
  <c r="F20" i="7" s="1"/>
  <c r="I19" i="7" s="1"/>
  <c r="F30" i="7" l="1"/>
  <c r="F25" i="7" s="1"/>
  <c r="I24" i="7" s="1"/>
</calcChain>
</file>

<file path=xl/sharedStrings.xml><?xml version="1.0" encoding="utf-8"?>
<sst xmlns="http://schemas.openxmlformats.org/spreadsheetml/2006/main" count="115" uniqueCount="80">
  <si>
    <r>
      <t>Part Number</t>
    </r>
    <r>
      <rPr>
        <sz val="12"/>
        <color indexed="8"/>
        <rFont val="細明體"/>
        <family val="3"/>
        <charset val="136"/>
      </rPr>
      <t>：</t>
    </r>
    <phoneticPr fontId="4" type="noConversion"/>
  </si>
  <si>
    <r>
      <t>WAFER source</t>
    </r>
    <r>
      <rPr>
        <sz val="12"/>
        <color indexed="8"/>
        <rFont val="細明體"/>
        <family val="3"/>
        <charset val="136"/>
      </rPr>
      <t>：</t>
    </r>
    <phoneticPr fontId="4" type="noConversion"/>
  </si>
  <si>
    <t>min</t>
    <phoneticPr fontId="9" type="noConversion"/>
  </si>
  <si>
    <t>Max</t>
    <phoneticPr fontId="9" type="noConversion"/>
  </si>
  <si>
    <r>
      <t>WAFER P/N</t>
    </r>
    <r>
      <rPr>
        <sz val="12"/>
        <color indexed="8"/>
        <rFont val="細明體"/>
        <family val="3"/>
        <charset val="136"/>
      </rPr>
      <t>：</t>
    </r>
    <phoneticPr fontId="4" type="noConversion"/>
  </si>
  <si>
    <t>Vbr (V)</t>
    <phoneticPr fontId="9" type="noConversion"/>
  </si>
  <si>
    <r>
      <t>WAFER LOT.NO</t>
    </r>
    <r>
      <rPr>
        <sz val="12"/>
        <color indexed="8"/>
        <rFont val="細明體"/>
        <family val="3"/>
        <charset val="136"/>
      </rPr>
      <t>：</t>
    </r>
    <phoneticPr fontId="4" type="noConversion"/>
  </si>
  <si>
    <t>Peak Pulse Power Rating Curve</t>
    <phoneticPr fontId="9" type="noConversion"/>
  </si>
  <si>
    <t>機台</t>
    <phoneticPr fontId="9" type="noConversion"/>
  </si>
  <si>
    <t>Vc (V)</t>
    <phoneticPr fontId="9" type="noConversion"/>
  </si>
  <si>
    <t>Ipp (A)</t>
    <phoneticPr fontId="9" type="noConversion"/>
  </si>
  <si>
    <t>Peak Pulse Power Ppp(W)</t>
    <phoneticPr fontId="9" type="noConversion"/>
  </si>
  <si>
    <t>Peak Pulse Power Ppp(kW)</t>
    <phoneticPr fontId="9" type="noConversion"/>
  </si>
  <si>
    <r>
      <t>Dynamic Resistance (m</t>
    </r>
    <r>
      <rPr>
        <sz val="12"/>
        <color indexed="8"/>
        <rFont val="Symbol"/>
        <family val="1"/>
        <charset val="2"/>
      </rPr>
      <t>W</t>
    </r>
    <r>
      <rPr>
        <sz val="9.6"/>
        <color indexed="8"/>
        <rFont val="Calibri"/>
        <family val="2"/>
      </rPr>
      <t>)</t>
    </r>
    <phoneticPr fontId="9" type="noConversion"/>
  </si>
  <si>
    <t>Peak Pulse Power</t>
    <phoneticPr fontId="9" type="noConversion"/>
  </si>
  <si>
    <t>Peak Pulse Current</t>
    <phoneticPr fontId="9" type="noConversion"/>
  </si>
  <si>
    <t>log Y=a+b*log X</t>
    <phoneticPr fontId="9" type="noConversion"/>
  </si>
  <si>
    <t>10/1000</t>
    <phoneticPr fontId="9" type="noConversion"/>
  </si>
  <si>
    <t>Y=10^(a+b*log X)</t>
    <phoneticPr fontId="9" type="noConversion"/>
  </si>
  <si>
    <t>b=</t>
    <phoneticPr fontId="9" type="noConversion"/>
  </si>
  <si>
    <t>Load Dump</t>
    <phoneticPr fontId="9" type="noConversion"/>
  </si>
  <si>
    <t>a=</t>
    <phoneticPr fontId="9" type="noConversion"/>
  </si>
  <si>
    <t>V</t>
    <phoneticPr fontId="2" type="noConversion"/>
  </si>
  <si>
    <t>Ω</t>
    <phoneticPr fontId="2" type="noConversion"/>
  </si>
  <si>
    <t>td</t>
    <phoneticPr fontId="2" type="noConversion"/>
  </si>
  <si>
    <t>S</t>
    <phoneticPr fontId="2" type="noConversion"/>
  </si>
  <si>
    <t>A</t>
    <phoneticPr fontId="2" type="noConversion"/>
  </si>
  <si>
    <t>W</t>
    <phoneticPr fontId="2" type="noConversion"/>
  </si>
  <si>
    <t>Maximum clamping voltage</t>
    <phoneticPr fontId="2" type="noConversion"/>
  </si>
  <si>
    <t>mS</t>
    <phoneticPr fontId="2" type="noConversion"/>
  </si>
  <si>
    <t>Pulse Width 
Tp(ms) -current</t>
    <phoneticPr fontId="9" type="noConversion"/>
  </si>
  <si>
    <t>Pulse Width 
Tp(ms)-voltage</t>
    <phoneticPr fontId="9" type="noConversion"/>
  </si>
  <si>
    <t>10/10000</t>
    <phoneticPr fontId="9" type="noConversion"/>
  </si>
  <si>
    <t>Pulse 5a Tp(ms)</t>
    <phoneticPr fontId="2" type="noConversion"/>
  </si>
  <si>
    <t>200</t>
    <phoneticPr fontId="2" type="noConversion"/>
  </si>
  <si>
    <t>400</t>
    <phoneticPr fontId="2" type="noConversion"/>
  </si>
  <si>
    <t>Rd</t>
    <phoneticPr fontId="2" type="noConversion"/>
  </si>
  <si>
    <t>-----</t>
    <phoneticPr fontId="2" type="noConversion"/>
  </si>
  <si>
    <t>tw (clamp time)</t>
    <phoneticPr fontId="2" type="noConversion"/>
  </si>
  <si>
    <t>Duty</t>
    <phoneticPr fontId="2" type="noConversion"/>
  </si>
  <si>
    <t>TJ</t>
    <phoneticPr fontId="2" type="noConversion"/>
  </si>
  <si>
    <t>Derating</t>
    <phoneticPr fontId="2" type="noConversion"/>
  </si>
  <si>
    <t>SLD8S24A</t>
    <phoneticPr fontId="2" type="noConversion"/>
  </si>
  <si>
    <t>Ra</t>
    <phoneticPr fontId="2" type="noConversion"/>
  </si>
  <si>
    <t>1~10ms Peak power limit</t>
    <phoneticPr fontId="2" type="noConversion"/>
  </si>
  <si>
    <t>t1 (period)</t>
    <phoneticPr fontId="2" type="noConversion"/>
  </si>
  <si>
    <t>Ipp (ms)</t>
    <phoneticPr fontId="2" type="noConversion"/>
  </si>
  <si>
    <t>Ppp(W)</t>
    <phoneticPr fontId="2" type="noConversion"/>
  </si>
  <si>
    <t>ISO 16750-2 Pulse 5a condition</t>
    <phoneticPr fontId="2" type="noConversion"/>
  </si>
  <si>
    <t>Parameters</t>
    <phoneticPr fontId="2" type="noConversion"/>
  </si>
  <si>
    <r>
      <t>U</t>
    </r>
    <r>
      <rPr>
        <vertAlign val="subscript"/>
        <sz val="12"/>
        <color theme="1"/>
        <rFont val="Arial"/>
        <family val="2"/>
      </rPr>
      <t>S</t>
    </r>
    <phoneticPr fontId="2" type="noConversion"/>
  </si>
  <si>
    <r>
      <t>U</t>
    </r>
    <r>
      <rPr>
        <vertAlign val="subscript"/>
        <sz val="12"/>
        <color theme="1"/>
        <rFont val="Arial"/>
        <family val="2"/>
      </rPr>
      <t>A</t>
    </r>
    <phoneticPr fontId="2" type="noConversion"/>
  </si>
  <si>
    <r>
      <t>P</t>
    </r>
    <r>
      <rPr>
        <vertAlign val="subscript"/>
        <sz val="12"/>
        <color theme="1"/>
        <rFont val="Arial"/>
        <family val="2"/>
      </rPr>
      <t>PP</t>
    </r>
    <phoneticPr fontId="2" type="noConversion"/>
  </si>
  <si>
    <r>
      <t>Maximum TVS I</t>
    </r>
    <r>
      <rPr>
        <vertAlign val="subscript"/>
        <sz val="12"/>
        <color theme="1"/>
        <rFont val="Arial"/>
        <family val="2"/>
      </rPr>
      <t>PP</t>
    </r>
    <phoneticPr fontId="2" type="noConversion"/>
  </si>
  <si>
    <r>
      <t>Actual I</t>
    </r>
    <r>
      <rPr>
        <vertAlign val="subscript"/>
        <sz val="12"/>
        <color theme="1"/>
        <rFont val="Arial"/>
        <family val="2"/>
      </rPr>
      <t>PP</t>
    </r>
    <phoneticPr fontId="2" type="noConversion"/>
  </si>
  <si>
    <t>Judgement</t>
    <phoneticPr fontId="2" type="noConversion"/>
  </si>
  <si>
    <r>
      <t>Actual P</t>
    </r>
    <r>
      <rPr>
        <vertAlign val="subscript"/>
        <sz val="12"/>
        <color theme="1"/>
        <rFont val="Arial"/>
        <family val="2"/>
      </rPr>
      <t>PP</t>
    </r>
    <phoneticPr fontId="2" type="noConversion"/>
  </si>
  <si>
    <r>
      <t>Maximum TVS P</t>
    </r>
    <r>
      <rPr>
        <vertAlign val="subscript"/>
        <sz val="12"/>
        <color theme="1"/>
        <rFont val="Arial"/>
        <family val="2"/>
      </rPr>
      <t>PP</t>
    </r>
    <phoneticPr fontId="2" type="noConversion"/>
  </si>
  <si>
    <r>
      <t>I</t>
    </r>
    <r>
      <rPr>
        <vertAlign val="subscript"/>
        <sz val="12"/>
        <color theme="1"/>
        <rFont val="Arial"/>
        <family val="2"/>
      </rPr>
      <t>PP</t>
    </r>
    <r>
      <rPr>
        <sz val="12"/>
        <color theme="1"/>
        <rFont val="Arial"/>
        <family val="2"/>
      </rPr>
      <t xml:space="preserve"> Calculation Result</t>
    </r>
    <phoneticPr fontId="2" type="noConversion"/>
  </si>
  <si>
    <r>
      <t>P</t>
    </r>
    <r>
      <rPr>
        <vertAlign val="subscript"/>
        <sz val="12"/>
        <color theme="1"/>
        <rFont val="Arial"/>
        <family val="2"/>
      </rPr>
      <t>PP</t>
    </r>
    <r>
      <rPr>
        <sz val="12"/>
        <color theme="1"/>
        <rFont val="Arial"/>
        <family val="2"/>
      </rPr>
      <t xml:space="preserve"> Calculation Result</t>
    </r>
    <phoneticPr fontId="2" type="noConversion"/>
  </si>
  <si>
    <r>
      <t>V</t>
    </r>
    <r>
      <rPr>
        <vertAlign val="subscript"/>
        <sz val="12"/>
        <color theme="1"/>
        <rFont val="Arial"/>
        <family val="2"/>
      </rPr>
      <t>BR_max</t>
    </r>
    <phoneticPr fontId="2" type="noConversion"/>
  </si>
  <si>
    <r>
      <t>V</t>
    </r>
    <r>
      <rPr>
        <vertAlign val="subscript"/>
        <sz val="12"/>
        <color theme="1"/>
        <rFont val="Arial"/>
        <family val="2"/>
      </rPr>
      <t>BR_min</t>
    </r>
    <phoneticPr fontId="2" type="noConversion"/>
  </si>
  <si>
    <r>
      <t>V</t>
    </r>
    <r>
      <rPr>
        <vertAlign val="subscript"/>
        <sz val="12"/>
        <color theme="1"/>
        <rFont val="Arial"/>
        <family val="2"/>
      </rPr>
      <t>C</t>
    </r>
    <phoneticPr fontId="2" type="noConversion"/>
  </si>
  <si>
    <r>
      <t>T</t>
    </r>
    <r>
      <rPr>
        <vertAlign val="subscript"/>
        <sz val="12"/>
        <color theme="1"/>
        <rFont val="Arial"/>
        <family val="2"/>
      </rPr>
      <t>A</t>
    </r>
    <phoneticPr fontId="2" type="noConversion"/>
  </si>
  <si>
    <r>
      <rPr>
        <sz val="12"/>
        <color theme="1"/>
        <rFont val="Segoe UI Symbol"/>
        <family val="2"/>
      </rPr>
      <t>℃</t>
    </r>
    <phoneticPr fontId="2" type="noConversion"/>
  </si>
  <si>
    <r>
      <rPr>
        <sz val="12"/>
        <color theme="1"/>
        <rFont val="新細明體"/>
        <family val="1"/>
        <charset val="136"/>
      </rPr>
      <t>℃</t>
    </r>
    <phoneticPr fontId="2" type="noConversion"/>
  </si>
  <si>
    <r>
      <t>Enter ISO 16750-2 U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 xml:space="preserve"> Voltage (Us=Us</t>
    </r>
    <r>
      <rPr>
        <vertAlign val="super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-Ua)</t>
    </r>
    <phoneticPr fontId="2" type="noConversion"/>
  </si>
  <si>
    <r>
      <t>Enter ISO 16750-2 U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Voltage (12V System = 14V)</t>
    </r>
    <phoneticPr fontId="2" type="noConversion"/>
  </si>
  <si>
    <r>
      <t>Enter ISO 16750-2 Ri</t>
    </r>
    <r>
      <rPr>
        <vertAlign val="superscript"/>
        <sz val="12"/>
        <color theme="1"/>
        <rFont val="Arial"/>
        <family val="2"/>
      </rPr>
      <t>a</t>
    </r>
    <phoneticPr fontId="2" type="noConversion"/>
  </si>
  <si>
    <t>Enter ISO 16750-2 td</t>
    <phoneticPr fontId="2" type="noConversion"/>
  </si>
  <si>
    <r>
      <t>Ri</t>
    </r>
    <r>
      <rPr>
        <vertAlign val="superscript"/>
        <sz val="12"/>
        <color theme="1"/>
        <rFont val="Arial"/>
        <family val="2"/>
      </rPr>
      <t>a</t>
    </r>
    <phoneticPr fontId="2" type="noConversion"/>
  </si>
  <si>
    <r>
      <t>Enter TVS V</t>
    </r>
    <r>
      <rPr>
        <vertAlign val="subscript"/>
        <sz val="12"/>
        <color theme="1"/>
        <rFont val="Arial"/>
        <family val="2"/>
      </rPr>
      <t>BR_max</t>
    </r>
    <phoneticPr fontId="2" type="noConversion"/>
  </si>
  <si>
    <r>
      <t>Enter TVS V</t>
    </r>
    <r>
      <rPr>
        <vertAlign val="subscript"/>
        <sz val="12"/>
        <color theme="1"/>
        <rFont val="Arial"/>
        <family val="2"/>
      </rPr>
      <t>BR_min</t>
    </r>
    <phoneticPr fontId="2" type="noConversion"/>
  </si>
  <si>
    <r>
      <t>Enter TVS V</t>
    </r>
    <r>
      <rPr>
        <vertAlign val="subscript"/>
        <sz val="12"/>
        <color theme="1"/>
        <rFont val="Arial"/>
        <family val="2"/>
      </rPr>
      <t>C</t>
    </r>
    <phoneticPr fontId="2" type="noConversion"/>
  </si>
  <si>
    <t>Enter ambient temperature</t>
    <phoneticPr fontId="2" type="noConversion"/>
  </si>
  <si>
    <t>Enter test loop impedance (0.15Ω is recommended)</t>
    <phoneticPr fontId="2" type="noConversion"/>
  </si>
  <si>
    <t>85% derating is recommended</t>
    <phoneticPr fontId="2" type="noConversion"/>
  </si>
  <si>
    <t>SM5S Series (20~24V) DO-218AB Package</t>
    <phoneticPr fontId="2" type="noConversion"/>
  </si>
  <si>
    <t>SM6S Series (20~24V) DO-218AB Package</t>
    <phoneticPr fontId="2" type="noConversion"/>
  </si>
  <si>
    <t>SM8S Series (20~24V) DO-218AB Package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</si>
</sst>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"/>
    <numFmt numFmtId="177" formatCode="0.00_ "/>
    <numFmt numFmtId="178" formatCode="0.000_ "/>
    <numFmt numFmtId="179" formatCode="0.0_ "/>
    <numFmt numFmtId="180" formatCode="0_ "/>
    <numFmt numFmtId="181" formatCode="0_);[Red]\(0\)"/>
    <numFmt numFmtId="182" formatCode="0.0000_ "/>
    <numFmt numFmtId="183" formatCode="0.0_);[Red]\(0.0\)"/>
  </numFmts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Calibri"/>
      <family val="2"/>
    </font>
    <font>
      <sz val="9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2"/>
      <color indexed="8"/>
      <name val="Symbol"/>
      <family val="1"/>
      <charset val="2"/>
    </font>
    <font>
      <sz val="9.6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</font>
    <font>
      <b/>
      <sz val="12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2"/>
      <color theme="1"/>
      <name val="Segoe UI Symbo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/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3" borderId="1" xfId="1" applyFill="1" applyBorder="1" applyAlignment="1" applyProtection="1">
      <alignment horizontal="center" vertical="center"/>
      <protection locked="0"/>
    </xf>
    <xf numFmtId="0" fontId="3" fillId="0" borderId="1" xfId="1" applyBorder="1" applyProtection="1">
      <alignment vertical="center"/>
      <protection hidden="1"/>
    </xf>
    <xf numFmtId="0" fontId="3" fillId="0" borderId="1" xfId="1" applyBorder="1" applyAlignment="1" applyProtection="1">
      <alignment horizontal="center" vertical="center"/>
      <protection hidden="1"/>
    </xf>
    <xf numFmtId="0" fontId="3" fillId="0" borderId="0" xfId="1" applyProtection="1">
      <alignment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3" fillId="0" borderId="1" xfId="1" applyBorder="1" applyAlignment="1" applyProtection="1">
      <alignment horizontal="center" vertical="center" wrapText="1"/>
      <protection hidden="1"/>
    </xf>
    <xf numFmtId="49" fontId="3" fillId="0" borderId="1" xfId="1" applyNumberFormat="1" applyBorder="1" applyAlignment="1" applyProtection="1">
      <alignment horizontal="center" vertical="center"/>
      <protection hidden="1"/>
    </xf>
    <xf numFmtId="179" fontId="3" fillId="0" borderId="1" xfId="1" applyNumberFormat="1" applyBorder="1" applyAlignment="1" applyProtection="1">
      <alignment horizontal="center" vertical="center"/>
      <protection hidden="1"/>
    </xf>
    <xf numFmtId="183" fontId="3" fillId="0" borderId="1" xfId="1" applyNumberFormat="1" applyBorder="1" applyProtection="1">
      <alignment vertical="center"/>
      <protection hidden="1"/>
    </xf>
    <xf numFmtId="176" fontId="3" fillId="0" borderId="1" xfId="1" applyNumberFormat="1" applyBorder="1" applyAlignment="1" applyProtection="1">
      <alignment horizontal="center" vertical="center"/>
      <protection hidden="1"/>
    </xf>
    <xf numFmtId="178" fontId="3" fillId="0" borderId="1" xfId="1" applyNumberFormat="1" applyBorder="1" applyProtection="1">
      <alignment vertical="center"/>
      <protection hidden="1"/>
    </xf>
    <xf numFmtId="0" fontId="13" fillId="0" borderId="1" xfId="1" applyFont="1" applyBorder="1" applyProtection="1">
      <alignment vertical="center"/>
      <protection hidden="1"/>
    </xf>
    <xf numFmtId="181" fontId="3" fillId="0" borderId="1" xfId="1" applyNumberFormat="1" applyBorder="1" applyAlignment="1" applyProtection="1">
      <alignment horizontal="center" vertical="center"/>
      <protection hidden="1"/>
    </xf>
    <xf numFmtId="49" fontId="14" fillId="0" borderId="1" xfId="1" applyNumberFormat="1" applyFont="1" applyBorder="1" applyAlignment="1" applyProtection="1">
      <alignment horizontal="center" vertical="center"/>
      <protection hidden="1"/>
    </xf>
    <xf numFmtId="0" fontId="3" fillId="0" borderId="1" xfId="1" quotePrefix="1" applyBorder="1" applyAlignment="1" applyProtection="1">
      <alignment horizontal="center" vertical="center"/>
      <protection hidden="1"/>
    </xf>
    <xf numFmtId="0" fontId="3" fillId="4" borderId="1" xfId="1" applyFill="1" applyBorder="1" applyProtection="1">
      <alignment vertical="center"/>
      <protection hidden="1"/>
    </xf>
    <xf numFmtId="0" fontId="3" fillId="0" borderId="4" xfId="1" applyBorder="1" applyProtection="1">
      <alignment vertical="center"/>
      <protection hidden="1"/>
    </xf>
    <xf numFmtId="0" fontId="5" fillId="0" borderId="0" xfId="1" applyFont="1" applyProtection="1">
      <alignment vertical="center"/>
      <protection hidden="1"/>
    </xf>
    <xf numFmtId="0" fontId="3" fillId="0" borderId="1" xfId="1" applyBorder="1" applyAlignment="1" applyProtection="1">
      <alignment horizontal="right" vertical="center"/>
      <protection hidden="1"/>
    </xf>
    <xf numFmtId="0" fontId="3" fillId="0" borderId="5" xfId="1" applyBorder="1" applyAlignment="1" applyProtection="1">
      <alignment horizontal="center" vertical="center" wrapText="1"/>
      <protection hidden="1"/>
    </xf>
    <xf numFmtId="0" fontId="3" fillId="0" borderId="0" xfId="1" applyAlignment="1" applyProtection="1">
      <alignment horizontal="center" vertical="center" wrapText="1"/>
      <protection hidden="1"/>
    </xf>
    <xf numFmtId="0" fontId="3" fillId="0" borderId="5" xfId="1" applyBorder="1" applyProtection="1">
      <alignment vertical="center"/>
      <protection hidden="1"/>
    </xf>
    <xf numFmtId="182" fontId="3" fillId="0" borderId="1" xfId="1" applyNumberFormat="1" applyBorder="1" applyProtection="1">
      <alignment vertical="center"/>
      <protection hidden="1"/>
    </xf>
    <xf numFmtId="0" fontId="3" fillId="0" borderId="0" xfId="1" applyAlignment="1" applyProtection="1">
      <alignment horizontal="center" vertical="center"/>
      <protection hidden="1"/>
    </xf>
    <xf numFmtId="176" fontId="3" fillId="0" borderId="0" xfId="1" applyNumberFormat="1" applyAlignment="1" applyProtection="1">
      <alignment horizontal="center" vertical="center"/>
      <protection hidden="1"/>
    </xf>
    <xf numFmtId="49" fontId="14" fillId="4" borderId="1" xfId="1" applyNumberFormat="1" applyFont="1" applyFill="1" applyBorder="1" applyAlignment="1" applyProtection="1">
      <alignment horizontal="center" vertical="center"/>
      <protection hidden="1"/>
    </xf>
    <xf numFmtId="182" fontId="3" fillId="0" borderId="0" xfId="1" applyNumberFormat="1" applyProtection="1">
      <alignment vertical="center"/>
      <protection hidden="1"/>
    </xf>
    <xf numFmtId="178" fontId="3" fillId="0" borderId="1" xfId="1" applyNumberFormat="1" applyBorder="1" applyAlignment="1" applyProtection="1">
      <alignment horizontal="center" vertical="center"/>
      <protection hidden="1"/>
    </xf>
    <xf numFmtId="181" fontId="3" fillId="5" borderId="1" xfId="1" applyNumberFormat="1" applyFill="1" applyBorder="1" applyAlignment="1" applyProtection="1">
      <alignment horizontal="center" vertical="center"/>
      <protection hidden="1"/>
    </xf>
    <xf numFmtId="0" fontId="3" fillId="5" borderId="1" xfId="1" applyFill="1" applyBorder="1" applyProtection="1">
      <alignment vertical="center"/>
      <protection hidden="1"/>
    </xf>
    <xf numFmtId="183" fontId="3" fillId="5" borderId="1" xfId="1" applyNumberFormat="1" applyFill="1" applyBorder="1" applyProtection="1">
      <alignment vertical="center"/>
      <protection hidden="1"/>
    </xf>
    <xf numFmtId="180" fontId="3" fillId="5" borderId="1" xfId="1" applyNumberFormat="1" applyFill="1" applyBorder="1" applyAlignment="1" applyProtection="1">
      <alignment horizontal="center" vertical="center"/>
      <protection hidden="1"/>
    </xf>
    <xf numFmtId="178" fontId="3" fillId="5" borderId="1" xfId="1" applyNumberFormat="1" applyFill="1" applyBorder="1" applyAlignment="1" applyProtection="1">
      <alignment horizontal="center" vertical="center"/>
      <protection hidden="1"/>
    </xf>
    <xf numFmtId="178" fontId="3" fillId="5" borderId="1" xfId="1" applyNumberFormat="1" applyFill="1" applyBorder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9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0" fillId="0" borderId="17" xfId="0" applyBorder="1" applyAlignment="1">
      <alignment horizontal="center" vertical="center"/>
    </xf>
    <xf numFmtId="0" fontId="17" fillId="0" borderId="8" xfId="0" applyFont="1" applyBorder="1">
      <alignment vertical="center"/>
    </xf>
    <xf numFmtId="0" fontId="17" fillId="0" borderId="6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17" fillId="0" borderId="10" xfId="0" applyFont="1" applyBorder="1">
      <alignment vertical="center"/>
    </xf>
    <xf numFmtId="180" fontId="20" fillId="0" borderId="1" xfId="0" applyNumberFormat="1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180" fontId="17" fillId="0" borderId="1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182" fontId="17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82" fontId="20" fillId="0" borderId="6" xfId="0" applyNumberFormat="1" applyFont="1" applyBorder="1" applyAlignment="1">
      <alignment horizontal="center" vertical="center"/>
    </xf>
    <xf numFmtId="9" fontId="17" fillId="0" borderId="6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" fillId="5" borderId="3" xfId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1" xfId="1" quotePrefix="1" applyBorder="1" applyAlignment="1" applyProtection="1">
      <alignment horizontal="center" vertical="center"/>
      <protection locked="0"/>
    </xf>
    <xf numFmtId="0" fontId="10" fillId="0" borderId="1" xfId="1" quotePrefix="1" applyFont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hidden="1"/>
    </xf>
    <xf numFmtId="0" fontId="3" fillId="0" borderId="1" xfId="1" applyBorder="1" applyAlignment="1" applyProtection="1">
      <alignment horizontal="center" vertical="center" wrapText="1"/>
      <protection hidden="1"/>
    </xf>
    <xf numFmtId="0" fontId="3" fillId="0" borderId="3" xfId="1" applyBorder="1" applyAlignment="1" applyProtection="1">
      <alignment horizontal="center" vertical="center"/>
      <protection hidden="1"/>
    </xf>
    <xf numFmtId="0" fontId="3" fillId="0" borderId="2" xfId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</cellXfs>
  <cellStyles count="7">
    <cellStyle name="一般" xfId="0" builtinId="0"/>
    <cellStyle name="一般 17 3" xfId="6"/>
    <cellStyle name="一般 2" xfId="1"/>
    <cellStyle name="一般 4" xfId="3"/>
    <cellStyle name="一般 6" xfId="5"/>
    <cellStyle name="一般 6 3" xfId="2"/>
    <cellStyle name="一般 8 3" xfId="4"/>
  </cellStyles>
  <dxfs count="2">
    <dxf>
      <font>
        <b val="0"/>
        <i val="0"/>
        <color rgb="FFFF0000"/>
      </font>
    </dxf>
    <dxf>
      <font>
        <b val="0"/>
        <i val="0"/>
        <color rgb="FF0000CC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800" b="1">
                <a:latin typeface="Arial" panose="020B0604020202020204" pitchFamily="34" charset="0"/>
                <a:cs typeface="Arial" panose="020B0604020202020204" pitchFamily="34" charset="0"/>
              </a:rPr>
              <a:t>Peak</a:t>
            </a:r>
            <a:r>
              <a:rPr lang="en-US" altLang="zh-TW" sz="1800" b="1" baseline="0">
                <a:latin typeface="Arial" panose="020B0604020202020204" pitchFamily="34" charset="0"/>
                <a:cs typeface="Arial" panose="020B0604020202020204" pitchFamily="34" charset="0"/>
              </a:rPr>
              <a:t> Pulse Power Rating Curve</a:t>
            </a:r>
            <a:endParaRPr lang="en-US" altLang="zh-TW" sz="1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612608705815854"/>
          <c:y val="4.5582143643870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5057612500118869"/>
          <c:y val="0.16041660818875467"/>
          <c:w val="0.79219256489284495"/>
          <c:h val="0.6525311123756515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SUMMARY!$AJ$8</c:f>
              <c:strCache>
                <c:ptCount val="1"/>
                <c:pt idx="0">
                  <c:v>Peak Pulse Power Rating Curve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SUMMARY!$AL$10:$AL$11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SUMMARY!$AQ$10:$AQ$11</c:f>
              <c:numCache>
                <c:formatCode>0.000</c:formatCode>
                <c:ptCount val="2"/>
                <c:pt idx="0">
                  <c:v>6.6130000000000004</c:v>
                </c:pt>
                <c:pt idx="1">
                  <c:v>5.2060000000000004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AF-442B-9DAB-453079BB9020}"/>
            </c:ext>
          </c:extLst>
        </c:ser>
        <c:ser>
          <c:idx val="1"/>
          <c:order val="1"/>
          <c:spPr>
            <a:ln w="19050" cap="flat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flat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694-4068-B30A-3D63690285A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flat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4-4068-B30A-3D63690285A1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flat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94-4068-B30A-3D63690285A1}"/>
              </c:ext>
            </c:extLst>
          </c:dPt>
          <c:xVal>
            <c:numRef>
              <c:f>SUMMARY!$AL$11:$AL$14</c:f>
              <c:numCache>
                <c:formatCode>0_);[Red]\(0\)</c:formatCode>
                <c:ptCount val="4"/>
                <c:pt idx="0" formatCode="General">
                  <c:v>10</c:v>
                </c:pt>
                <c:pt idx="1">
                  <c:v>26.4</c:v>
                </c:pt>
                <c:pt idx="2">
                  <c:v>42</c:v>
                </c:pt>
                <c:pt idx="3">
                  <c:v>130</c:v>
                </c:pt>
              </c:numCache>
            </c:numRef>
          </c:xVal>
          <c:yVal>
            <c:numRef>
              <c:f>SUMMARY!$AQ$11:$AQ$14</c:f>
              <c:numCache>
                <c:formatCode>0.000</c:formatCode>
                <c:ptCount val="4"/>
                <c:pt idx="0">
                  <c:v>5.2060000000000004</c:v>
                </c:pt>
                <c:pt idx="1">
                  <c:v>4.3319999999999999</c:v>
                </c:pt>
                <c:pt idx="2">
                  <c:v>4.0279999999999996</c:v>
                </c:pt>
                <c:pt idx="3" formatCode="0.000_ ">
                  <c:v>3.3740000000000001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AF-442B-9DAB-453079BB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399264"/>
        <c:axId val="1853390944"/>
      </c:scatterChart>
      <c:valAx>
        <c:axId val="1853399264"/>
        <c:scaling>
          <c:logBase val="10"/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31750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Pulse Width</a:t>
                </a:r>
                <a:r>
                  <a:rPr lang="zh-TW" altLang="en-US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altLang="zh-TW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Tp(ms</a:t>
                </a:r>
                <a:r>
                  <a:rPr lang="en-US" altLang="zh-TW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zh-TW" altLang="en-US" sz="16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9184080150762812"/>
              <c:y val="0.9018279067701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0944"/>
        <c:crossesAt val="0.1"/>
        <c:crossBetween val="midCat"/>
      </c:valAx>
      <c:valAx>
        <c:axId val="1853390944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0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Peak Pulse Power Ppp(kW)</a:t>
                </a:r>
                <a:endParaRPr lang="zh-TW" altLang="en-US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4278106035929486E-2"/>
              <c:y val="0.19692921712219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_ 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926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Peak Pulse Current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5057612500118869"/>
          <c:y val="0.16041660818875467"/>
          <c:w val="0.79219256489284495"/>
          <c:h val="0.65253111237565153"/>
        </c:manualLayout>
      </c:layout>
      <c:scatterChart>
        <c:scatterStyle val="lineMarker"/>
        <c:varyColors val="0"/>
        <c:ser>
          <c:idx val="0"/>
          <c:order val="0"/>
          <c:tx>
            <c:v>Peak Pulse Current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SUMMARY!$AL$10:$AL$11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SUMMARY!$AO$10:$AO$11</c:f>
              <c:numCache>
                <c:formatCode>0.0_);[Red]\(0.0\)</c:formatCode>
                <c:ptCount val="2"/>
                <c:pt idx="0">
                  <c:v>170</c:v>
                </c:pt>
                <c:pt idx="1">
                  <c:v>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55-4DA3-B2E4-E89099764AB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SUMMARY!$AL$11:$AL$14</c:f>
              <c:numCache>
                <c:formatCode>0_);[Red]\(0\)</c:formatCode>
                <c:ptCount val="4"/>
                <c:pt idx="0" formatCode="General">
                  <c:v>10</c:v>
                </c:pt>
                <c:pt idx="1">
                  <c:v>26.4</c:v>
                </c:pt>
                <c:pt idx="2">
                  <c:v>42</c:v>
                </c:pt>
                <c:pt idx="3">
                  <c:v>130</c:v>
                </c:pt>
              </c:numCache>
            </c:numRef>
          </c:xVal>
          <c:yVal>
            <c:numRef>
              <c:f>SUMMARY!$AO$11:$AO$14</c:f>
              <c:numCache>
                <c:formatCode>0.0_);[Red]\(0.0\)</c:formatCode>
                <c:ptCount val="4"/>
                <c:pt idx="0">
                  <c:v>137</c:v>
                </c:pt>
                <c:pt idx="1">
                  <c:v>114</c:v>
                </c:pt>
                <c:pt idx="2">
                  <c:v>106</c:v>
                </c:pt>
                <c:pt idx="3">
                  <c:v>86.74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55-4DA3-B2E4-E89099764A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3399264"/>
        <c:axId val="1853390944"/>
      </c:scatterChart>
      <c:valAx>
        <c:axId val="1853399264"/>
        <c:scaling>
          <c:logBase val="10"/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/>
                  <a:t>Pulse Width</a:t>
                </a:r>
                <a:r>
                  <a:rPr lang="zh-TW" altLang="en-US" b="1"/>
                  <a:t> </a:t>
                </a:r>
                <a:r>
                  <a:rPr lang="en-US" altLang="zh-TW" b="1"/>
                  <a:t>Tp(ms)</a:t>
                </a:r>
                <a:endParaRPr lang="zh-TW" alt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0944"/>
        <c:crossesAt val="0.1"/>
        <c:crossBetween val="midCat"/>
      </c:valAx>
      <c:valAx>
        <c:axId val="1853390944"/>
        <c:scaling>
          <c:logBase val="10"/>
          <c:orientation val="minMax"/>
          <c:max val="10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/>
                  <a:t>Peak Pulse Current (A)</a:t>
                </a:r>
                <a:endParaRPr lang="zh-TW" alt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_ 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926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Peak</a:t>
            </a:r>
            <a:r>
              <a:rPr lang="en-US" altLang="zh-TW" baseline="0"/>
              <a:t> Pulse Power Rating Curve</a:t>
            </a:r>
            <a:endParaRPr lang="en-US" altLang="zh-TW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5057612500118869"/>
          <c:y val="0.16041660818875467"/>
          <c:w val="0.79219256489284495"/>
          <c:h val="0.65253111237565153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SUMMARY!$AJ$8</c:f>
              <c:strCache>
                <c:ptCount val="1"/>
                <c:pt idx="0">
                  <c:v>Peak Pulse Power Rating Curve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SUMMARY!$AL$10:$AL$11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SUMMARY!$AQ$10:$AQ$11</c:f>
              <c:numCache>
                <c:formatCode>0.000</c:formatCode>
                <c:ptCount val="2"/>
                <c:pt idx="0">
                  <c:v>6.6130000000000004</c:v>
                </c:pt>
                <c:pt idx="1">
                  <c:v>5.2060000000000004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8A-4A03-B8A6-A09AA5264E0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SUMMARY!$AL$11:$AL$14</c:f>
              <c:numCache>
                <c:formatCode>0_);[Red]\(0\)</c:formatCode>
                <c:ptCount val="4"/>
                <c:pt idx="0" formatCode="General">
                  <c:v>10</c:v>
                </c:pt>
                <c:pt idx="1">
                  <c:v>26.4</c:v>
                </c:pt>
                <c:pt idx="2">
                  <c:v>42</c:v>
                </c:pt>
                <c:pt idx="3">
                  <c:v>130</c:v>
                </c:pt>
              </c:numCache>
            </c:numRef>
          </c:xVal>
          <c:yVal>
            <c:numRef>
              <c:f>SUMMARY!$AQ$11:$AQ$14</c:f>
              <c:numCache>
                <c:formatCode>0.000</c:formatCode>
                <c:ptCount val="4"/>
                <c:pt idx="0">
                  <c:v>5.2060000000000004</c:v>
                </c:pt>
                <c:pt idx="1">
                  <c:v>4.3319999999999999</c:v>
                </c:pt>
                <c:pt idx="2">
                  <c:v>4.0279999999999996</c:v>
                </c:pt>
                <c:pt idx="3" formatCode="0.000_ ">
                  <c:v>3.3740000000000001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8A-4A03-B8A6-A09AA5264E0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3399264"/>
        <c:axId val="1853390944"/>
      </c:scatterChart>
      <c:valAx>
        <c:axId val="1853399264"/>
        <c:scaling>
          <c:logBase val="10"/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/>
                  <a:t>Pulse Width</a:t>
                </a:r>
                <a:r>
                  <a:rPr lang="zh-TW" altLang="en-US" b="1"/>
                  <a:t> </a:t>
                </a:r>
                <a:r>
                  <a:rPr lang="en-US" altLang="zh-TW" b="1"/>
                  <a:t>Tp(ms)</a:t>
                </a:r>
                <a:endParaRPr lang="zh-TW" alt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0944"/>
        <c:crossesAt val="0.1"/>
        <c:crossBetween val="midCat"/>
      </c:valAx>
      <c:valAx>
        <c:axId val="1853390944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/>
                  <a:t>Peak Pulse Power Ppp(kW)</a:t>
                </a:r>
                <a:endParaRPr lang="zh-TW" alt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_ 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339926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785435</xdr:colOff>
      <xdr:row>4</xdr:row>
      <xdr:rowOff>164053</xdr:rowOff>
    </xdr:from>
    <xdr:to>
      <xdr:col>1</xdr:col>
      <xdr:colOff>5721470</xdr:colOff>
      <xdr:row>16</xdr:row>
      <xdr:rowOff>224117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C544AC5-B806-437B-9AE3-3209CECE7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9317" y="1120288"/>
          <a:ext cx="4936035" cy="2928771"/>
        </a:xfrm>
        <a:prstGeom prst="rect">
          <a:avLst/>
        </a:prstGeom>
      </xdr:spPr>
    </xdr:pic>
    <xdr:clientData/>
  </xdr:twoCellAnchor>
  <xdr:twoCellAnchor editAs="oneCell">
    <xdr:from>
      <xdr:col>1</xdr:col>
      <xdr:colOff>328702</xdr:colOff>
      <xdr:row>17</xdr:row>
      <xdr:rowOff>119529</xdr:rowOff>
    </xdr:from>
    <xdr:to>
      <xdr:col>1</xdr:col>
      <xdr:colOff>6603468</xdr:colOff>
      <xdr:row>25</xdr:row>
      <xdr:rowOff>29881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321173F-5BC4-474E-B0A5-EBC09ACF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7131" y="4682458"/>
          <a:ext cx="6274766" cy="1869781"/>
        </a:xfrm>
        <a:prstGeom prst="rect">
          <a:avLst/>
        </a:prstGeom>
      </xdr:spPr>
    </xdr:pic>
    <xdr:clientData/>
  </xdr:twoCellAnchor>
  <xdr:twoCellAnchor editAs="oneCell">
    <xdr:from>
      <xdr:col>1</xdr:col>
      <xdr:colOff>289196</xdr:colOff>
      <xdr:row>1</xdr:row>
      <xdr:rowOff>194235</xdr:rowOff>
    </xdr:from>
    <xdr:to>
      <xdr:col>1</xdr:col>
      <xdr:colOff>1527104</xdr:colOff>
      <xdr:row>3</xdr:row>
      <xdr:rowOff>224646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63871E88-E21E-4102-830A-A02309D00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84" y="418353"/>
          <a:ext cx="1237908" cy="508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241113</xdr:colOff>
      <xdr:row>18</xdr:row>
      <xdr:rowOff>79002</xdr:rowOff>
    </xdr:from>
    <xdr:to>
      <xdr:col>38</xdr:col>
      <xdr:colOff>564403</xdr:colOff>
      <xdr:row>41</xdr:row>
      <xdr:rowOff>69477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11206</xdr:colOff>
      <xdr:row>18</xdr:row>
      <xdr:rowOff>83297</xdr:rowOff>
    </xdr:from>
    <xdr:to>
      <xdr:col>47</xdr:col>
      <xdr:colOff>391085</xdr:colOff>
      <xdr:row>41</xdr:row>
      <xdr:rowOff>76947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589642</xdr:colOff>
      <xdr:row>41</xdr:row>
      <xdr:rowOff>127000</xdr:rowOff>
    </xdr:from>
    <xdr:to>
      <xdr:col>38</xdr:col>
      <xdr:colOff>553356</xdr:colOff>
      <xdr:row>64</xdr:row>
      <xdr:rowOff>181428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83DDD8DE-2C21-4949-B30E-35AE5B2D9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85" zoomScaleNormal="85" workbookViewId="0">
      <selection activeCell="F13" sqref="F13"/>
    </sheetView>
  </sheetViews>
  <sheetFormatPr defaultColWidth="8.7265625" defaultRowHeight="19" customHeight="1" x14ac:dyDescent="0.4"/>
  <cols>
    <col min="1" max="1" width="3.36328125" style="44" customWidth="1"/>
    <col min="2" max="2" width="99" style="44" customWidth="1"/>
    <col min="3" max="3" width="6.453125" style="44" customWidth="1"/>
    <col min="4" max="6" width="11.1796875" style="52" customWidth="1"/>
    <col min="7" max="7" width="8.7265625" style="52"/>
    <col min="8" max="8" width="2.08984375" style="52" customWidth="1"/>
    <col min="9" max="11" width="10.26953125" style="52" customWidth="1"/>
    <col min="12" max="14" width="10.26953125" style="44" customWidth="1"/>
    <col min="15" max="16384" width="8.7265625" style="44"/>
  </cols>
  <sheetData>
    <row r="1" spans="1:15" s="41" customFormat="1" ht="17.5" customHeight="1" thickBot="1" x14ac:dyDescent="0.45">
      <c r="B1" s="42"/>
      <c r="C1" s="42"/>
      <c r="D1" s="51"/>
      <c r="E1" s="51"/>
      <c r="F1" s="51"/>
      <c r="G1" s="51"/>
      <c r="H1" s="51"/>
      <c r="I1" s="51"/>
      <c r="J1" s="51"/>
      <c r="K1" s="51"/>
      <c r="L1" s="78"/>
      <c r="M1" s="78"/>
      <c r="N1" s="78"/>
    </row>
    <row r="2" spans="1:15" ht="19" customHeight="1" x14ac:dyDescent="0.4">
      <c r="A2" s="79"/>
      <c r="B2" s="83"/>
      <c r="C2" s="45"/>
      <c r="D2" s="46"/>
      <c r="E2" s="46"/>
      <c r="F2" s="46"/>
      <c r="G2" s="46"/>
      <c r="H2" s="46"/>
      <c r="I2" s="46"/>
      <c r="J2" s="46"/>
      <c r="K2" s="46"/>
      <c r="L2" s="47"/>
      <c r="M2" s="47"/>
      <c r="N2" s="48"/>
      <c r="O2" s="49"/>
    </row>
    <row r="3" spans="1:15" ht="19" customHeight="1" x14ac:dyDescent="0.4">
      <c r="A3" s="79"/>
      <c r="B3" s="82"/>
      <c r="C3" s="50"/>
      <c r="D3" s="51" t="s">
        <v>48</v>
      </c>
      <c r="E3" s="51"/>
      <c r="F3" s="43"/>
      <c r="G3" s="43"/>
      <c r="N3" s="53"/>
      <c r="O3" s="49"/>
    </row>
    <row r="4" spans="1:15" ht="19" customHeight="1" x14ac:dyDescent="0.4">
      <c r="A4" s="79"/>
      <c r="B4" s="81"/>
      <c r="C4" s="54"/>
      <c r="D4" s="86" t="s">
        <v>50</v>
      </c>
      <c r="E4" s="86"/>
      <c r="F4" s="38">
        <v>87</v>
      </c>
      <c r="G4" s="55" t="s">
        <v>22</v>
      </c>
      <c r="H4" s="56"/>
      <c r="I4" s="57" t="s">
        <v>66</v>
      </c>
      <c r="N4" s="53"/>
      <c r="O4" s="49"/>
    </row>
    <row r="5" spans="1:15" ht="19" customHeight="1" x14ac:dyDescent="0.4">
      <c r="A5" s="79"/>
      <c r="B5" s="82"/>
      <c r="C5" s="58"/>
      <c r="D5" s="86" t="s">
        <v>51</v>
      </c>
      <c r="E5" s="86"/>
      <c r="F5" s="38">
        <v>14</v>
      </c>
      <c r="G5" s="55" t="s">
        <v>22</v>
      </c>
      <c r="H5" s="56"/>
      <c r="I5" s="57" t="s">
        <v>67</v>
      </c>
      <c r="N5" s="53"/>
      <c r="O5" s="49"/>
    </row>
    <row r="6" spans="1:15" ht="19" customHeight="1" x14ac:dyDescent="0.4">
      <c r="A6" s="79"/>
      <c r="B6" s="82"/>
      <c r="C6" s="58"/>
      <c r="D6" s="86" t="s">
        <v>70</v>
      </c>
      <c r="E6" s="86"/>
      <c r="F6" s="38">
        <v>0.5</v>
      </c>
      <c r="G6" s="55" t="s">
        <v>23</v>
      </c>
      <c r="H6" s="56"/>
      <c r="I6" s="57" t="s">
        <v>68</v>
      </c>
      <c r="N6" s="53"/>
      <c r="O6" s="49"/>
    </row>
    <row r="7" spans="1:15" s="41" customFormat="1" ht="19" customHeight="1" x14ac:dyDescent="0.4">
      <c r="A7" s="80"/>
      <c r="B7" s="82"/>
      <c r="C7" s="58"/>
      <c r="D7" s="86" t="s">
        <v>24</v>
      </c>
      <c r="E7" s="86"/>
      <c r="F7" s="38">
        <v>400</v>
      </c>
      <c r="G7" s="55" t="s">
        <v>29</v>
      </c>
      <c r="H7" s="59"/>
      <c r="I7" s="57" t="s">
        <v>69</v>
      </c>
      <c r="J7" s="60"/>
      <c r="K7" s="60"/>
      <c r="N7" s="61"/>
      <c r="O7" s="62"/>
    </row>
    <row r="8" spans="1:15" s="41" customFormat="1" ht="19" customHeight="1" x14ac:dyDescent="0.4">
      <c r="A8" s="80"/>
      <c r="B8" s="82"/>
      <c r="C8" s="50"/>
      <c r="D8" s="63"/>
      <c r="E8" s="63"/>
      <c r="F8" s="63"/>
      <c r="G8" s="63"/>
      <c r="H8" s="60"/>
      <c r="I8" s="60"/>
      <c r="J8" s="60"/>
      <c r="K8" s="60"/>
      <c r="N8" s="61"/>
      <c r="O8" s="62"/>
    </row>
    <row r="9" spans="1:15" s="41" customFormat="1" ht="19" customHeight="1" x14ac:dyDescent="0.4">
      <c r="A9" s="80"/>
      <c r="B9" s="82"/>
      <c r="C9" s="50"/>
      <c r="D9" s="51" t="s">
        <v>49</v>
      </c>
      <c r="E9" s="51"/>
      <c r="F9" s="51"/>
      <c r="G9" s="51"/>
      <c r="H9" s="60"/>
      <c r="I9" s="60"/>
      <c r="J9" s="60"/>
      <c r="K9" s="60"/>
      <c r="N9" s="61"/>
      <c r="O9" s="62"/>
    </row>
    <row r="10" spans="1:15" s="41" customFormat="1" ht="19" customHeight="1" x14ac:dyDescent="0.4">
      <c r="A10" s="80"/>
      <c r="B10" s="82"/>
      <c r="C10" s="58"/>
      <c r="D10" s="86" t="s">
        <v>60</v>
      </c>
      <c r="E10" s="86"/>
      <c r="F10" s="39">
        <v>29.5</v>
      </c>
      <c r="G10" s="55" t="s">
        <v>22</v>
      </c>
      <c r="H10" s="59"/>
      <c r="I10" s="57" t="s">
        <v>71</v>
      </c>
      <c r="J10" s="60"/>
      <c r="K10" s="60"/>
      <c r="N10" s="61"/>
      <c r="O10" s="62"/>
    </row>
    <row r="11" spans="1:15" s="41" customFormat="1" ht="19" customHeight="1" x14ac:dyDescent="0.4">
      <c r="A11" s="80"/>
      <c r="B11" s="82"/>
      <c r="C11" s="58"/>
      <c r="D11" s="86" t="s">
        <v>61</v>
      </c>
      <c r="E11" s="86"/>
      <c r="F11" s="38">
        <v>26.7</v>
      </c>
      <c r="G11" s="55" t="s">
        <v>22</v>
      </c>
      <c r="H11" s="59"/>
      <c r="I11" s="57" t="s">
        <v>72</v>
      </c>
      <c r="J11" s="60"/>
      <c r="K11" s="60"/>
      <c r="N11" s="61"/>
      <c r="O11" s="62"/>
    </row>
    <row r="12" spans="1:15" s="41" customFormat="1" ht="19" customHeight="1" x14ac:dyDescent="0.4">
      <c r="A12" s="80"/>
      <c r="B12" s="82"/>
      <c r="C12" s="58"/>
      <c r="D12" s="86" t="s">
        <v>62</v>
      </c>
      <c r="E12" s="86"/>
      <c r="F12" s="39">
        <v>38.9</v>
      </c>
      <c r="G12" s="55" t="s">
        <v>22</v>
      </c>
      <c r="H12" s="59"/>
      <c r="I12" s="57" t="s">
        <v>73</v>
      </c>
      <c r="J12" s="60"/>
      <c r="K12" s="60"/>
      <c r="N12" s="61"/>
      <c r="O12" s="62"/>
    </row>
    <row r="13" spans="1:15" s="41" customFormat="1" ht="19" customHeight="1" x14ac:dyDescent="0.4">
      <c r="A13" s="80"/>
      <c r="B13" s="82"/>
      <c r="C13" s="58"/>
      <c r="D13" s="86" t="s">
        <v>52</v>
      </c>
      <c r="E13" s="86"/>
      <c r="F13" s="39">
        <v>6600</v>
      </c>
      <c r="G13" s="55" t="s">
        <v>27</v>
      </c>
      <c r="H13" s="59"/>
      <c r="I13" s="77" t="str">
        <f>工作表2!P12</f>
        <v>SM8S Series (20~24V) DO-218AB Package</v>
      </c>
      <c r="J13" s="60"/>
      <c r="K13" s="60"/>
      <c r="N13" s="61"/>
      <c r="O13" s="62"/>
    </row>
    <row r="14" spans="1:15" s="41" customFormat="1" ht="19" customHeight="1" x14ac:dyDescent="0.4">
      <c r="A14" s="80"/>
      <c r="B14" s="82"/>
      <c r="C14" s="58"/>
      <c r="D14" s="86" t="s">
        <v>63</v>
      </c>
      <c r="E14" s="86"/>
      <c r="F14" s="38">
        <v>25</v>
      </c>
      <c r="G14" s="55" t="s">
        <v>64</v>
      </c>
      <c r="H14" s="59"/>
      <c r="I14" s="57" t="s">
        <v>74</v>
      </c>
      <c r="J14" s="60"/>
      <c r="K14" s="60"/>
      <c r="N14" s="61"/>
      <c r="O14" s="62"/>
    </row>
    <row r="15" spans="1:15" s="41" customFormat="1" ht="19" customHeight="1" x14ac:dyDescent="0.4">
      <c r="A15" s="80"/>
      <c r="B15" s="82"/>
      <c r="C15" s="58"/>
      <c r="D15" s="86" t="s">
        <v>43</v>
      </c>
      <c r="E15" s="86"/>
      <c r="F15" s="38">
        <v>0.15</v>
      </c>
      <c r="G15" s="55" t="s">
        <v>23</v>
      </c>
      <c r="H15" s="59"/>
      <c r="I15" s="57" t="s">
        <v>75</v>
      </c>
      <c r="J15" s="60"/>
      <c r="K15" s="60"/>
      <c r="N15" s="61"/>
      <c r="O15" s="62"/>
    </row>
    <row r="16" spans="1:15" s="41" customFormat="1" ht="19" customHeight="1" x14ac:dyDescent="0.4">
      <c r="A16" s="80"/>
      <c r="B16" s="82"/>
      <c r="C16" s="50"/>
      <c r="D16" s="63"/>
      <c r="E16" s="63"/>
      <c r="F16" s="63"/>
      <c r="G16" s="63"/>
      <c r="H16" s="60"/>
      <c r="I16" s="60"/>
      <c r="J16" s="60"/>
      <c r="K16" s="60"/>
      <c r="N16" s="61"/>
      <c r="O16" s="62"/>
    </row>
    <row r="17" spans="1:15" s="41" customFormat="1" ht="19" customHeight="1" x14ac:dyDescent="0.4">
      <c r="A17" s="80"/>
      <c r="B17" s="82"/>
      <c r="C17" s="50"/>
      <c r="D17" s="51" t="s">
        <v>58</v>
      </c>
      <c r="E17" s="51"/>
      <c r="F17" s="51"/>
      <c r="G17" s="51"/>
      <c r="H17" s="60"/>
      <c r="I17" s="60"/>
      <c r="J17" s="60"/>
      <c r="K17" s="60"/>
      <c r="N17" s="61"/>
      <c r="O17" s="62"/>
    </row>
    <row r="18" spans="1:15" s="41" customFormat="1" ht="19" customHeight="1" thickBot="1" x14ac:dyDescent="0.45">
      <c r="A18" s="80"/>
      <c r="B18" s="82"/>
      <c r="C18" s="58"/>
      <c r="D18" s="86" t="s">
        <v>53</v>
      </c>
      <c r="E18" s="86"/>
      <c r="F18" s="64">
        <f>SUMMARY!AO16*F36</f>
        <v>109.95</v>
      </c>
      <c r="G18" s="86" t="s">
        <v>26</v>
      </c>
      <c r="H18" s="59"/>
      <c r="I18" s="43" t="s">
        <v>55</v>
      </c>
      <c r="J18" s="60"/>
      <c r="K18" s="60"/>
      <c r="N18" s="61"/>
      <c r="O18" s="62"/>
    </row>
    <row r="19" spans="1:15" s="41" customFormat="1" ht="19" customHeight="1" x14ac:dyDescent="0.4">
      <c r="A19" s="80"/>
      <c r="B19" s="82"/>
      <c r="C19" s="58"/>
      <c r="D19" s="55" t="s">
        <v>41</v>
      </c>
      <c r="E19" s="40">
        <v>0.85</v>
      </c>
      <c r="F19" s="64">
        <f>F18*E19</f>
        <v>93.457499999999996</v>
      </c>
      <c r="G19" s="86"/>
      <c r="H19" s="65"/>
      <c r="I19" s="88" t="str">
        <f>IF(F20&lt;=F19,"PASS","FAIL")</f>
        <v>PASS</v>
      </c>
      <c r="J19" s="59"/>
      <c r="K19" s="60" t="s">
        <v>76</v>
      </c>
      <c r="N19" s="61"/>
      <c r="O19" s="62"/>
    </row>
    <row r="20" spans="1:15" s="41" customFormat="1" ht="19" customHeight="1" thickBot="1" x14ac:dyDescent="0.45">
      <c r="A20" s="80"/>
      <c r="B20" s="82"/>
      <c r="C20" s="58"/>
      <c r="D20" s="86" t="s">
        <v>54</v>
      </c>
      <c r="E20" s="86"/>
      <c r="F20" s="64">
        <f>((F4+F5)-((F10-F11)*2+F10))/(F6+F29+F15)</f>
        <v>89.599715584134543</v>
      </c>
      <c r="G20" s="86"/>
      <c r="H20" s="65"/>
      <c r="I20" s="89"/>
      <c r="J20" s="59"/>
      <c r="K20" s="60"/>
      <c r="N20" s="61"/>
      <c r="O20" s="62"/>
    </row>
    <row r="21" spans="1:15" s="41" customFormat="1" ht="19" customHeight="1" x14ac:dyDescent="0.4">
      <c r="A21" s="80"/>
      <c r="B21" s="82"/>
      <c r="C21" s="50"/>
      <c r="D21" s="63"/>
      <c r="E21" s="63"/>
      <c r="F21" s="63"/>
      <c r="G21" s="63"/>
      <c r="H21" s="60"/>
      <c r="I21" s="63"/>
      <c r="J21" s="60"/>
      <c r="K21" s="60"/>
      <c r="N21" s="61"/>
      <c r="O21" s="62"/>
    </row>
    <row r="22" spans="1:15" s="41" customFormat="1" ht="19" customHeight="1" x14ac:dyDescent="0.4">
      <c r="A22" s="80"/>
      <c r="B22" s="82"/>
      <c r="C22" s="50"/>
      <c r="D22" s="51" t="s">
        <v>59</v>
      </c>
      <c r="E22" s="51"/>
      <c r="F22" s="51"/>
      <c r="G22" s="51"/>
      <c r="H22" s="60"/>
      <c r="I22" s="60"/>
      <c r="J22" s="60"/>
      <c r="K22" s="60"/>
      <c r="N22" s="61"/>
      <c r="O22" s="62"/>
    </row>
    <row r="23" spans="1:15" s="41" customFormat="1" ht="19" customHeight="1" thickBot="1" x14ac:dyDescent="0.45">
      <c r="A23" s="80"/>
      <c r="B23" s="82"/>
      <c r="C23" s="58"/>
      <c r="D23" s="86" t="s">
        <v>57</v>
      </c>
      <c r="E23" s="86"/>
      <c r="F23" s="64">
        <f>SUMMARY!AP16*F36</f>
        <v>4277</v>
      </c>
      <c r="G23" s="86" t="s">
        <v>27</v>
      </c>
      <c r="H23" s="59"/>
      <c r="I23" s="43" t="s">
        <v>55</v>
      </c>
      <c r="J23" s="60"/>
      <c r="K23" s="60"/>
      <c r="N23" s="61"/>
      <c r="O23" s="62"/>
    </row>
    <row r="24" spans="1:15" s="41" customFormat="1" ht="19" customHeight="1" x14ac:dyDescent="0.4">
      <c r="A24" s="80"/>
      <c r="B24" s="81"/>
      <c r="C24" s="54"/>
      <c r="D24" s="55" t="s">
        <v>41</v>
      </c>
      <c r="E24" s="40">
        <v>0.85</v>
      </c>
      <c r="F24" s="64">
        <f>F23*E24</f>
        <v>3635.45</v>
      </c>
      <c r="G24" s="86"/>
      <c r="H24" s="65"/>
      <c r="I24" s="88" t="str">
        <f>IF(F25&lt;=F24,"PASS","FAIL")</f>
        <v>PASS</v>
      </c>
      <c r="J24" s="59"/>
      <c r="K24" s="60" t="s">
        <v>76</v>
      </c>
      <c r="N24" s="61"/>
      <c r="O24" s="62"/>
    </row>
    <row r="25" spans="1:15" s="41" customFormat="1" ht="19" customHeight="1" thickBot="1" x14ac:dyDescent="0.45">
      <c r="A25" s="80"/>
      <c r="B25" s="81"/>
      <c r="C25" s="54"/>
      <c r="D25" s="86" t="s">
        <v>56</v>
      </c>
      <c r="E25" s="86"/>
      <c r="F25" s="66">
        <f>F30*F20</f>
        <v>3329.541995433864</v>
      </c>
      <c r="G25" s="86"/>
      <c r="H25" s="65"/>
      <c r="I25" s="89"/>
      <c r="J25" s="59"/>
      <c r="K25" s="60"/>
      <c r="N25" s="61"/>
      <c r="O25" s="62"/>
    </row>
    <row r="26" spans="1:15" s="41" customFormat="1" ht="19" customHeight="1" thickBot="1" x14ac:dyDescent="0.45">
      <c r="A26" s="80"/>
      <c r="B26" s="84"/>
      <c r="C26" s="85"/>
      <c r="D26" s="67"/>
      <c r="E26" s="67"/>
      <c r="F26" s="67"/>
      <c r="G26" s="67"/>
      <c r="H26" s="68"/>
      <c r="I26" s="67"/>
      <c r="J26" s="68"/>
      <c r="K26" s="68"/>
      <c r="L26" s="69"/>
      <c r="M26" s="69"/>
      <c r="N26" s="70"/>
      <c r="O26" s="62"/>
    </row>
    <row r="27" spans="1:15" s="41" customFormat="1" ht="19" customHeight="1" x14ac:dyDescent="0.4">
      <c r="B27" s="71"/>
      <c r="C27" s="71"/>
      <c r="D27" s="63"/>
      <c r="E27" s="63"/>
      <c r="F27" s="63"/>
      <c r="G27" s="63"/>
      <c r="H27" s="63"/>
      <c r="I27" s="63"/>
      <c r="J27" s="63"/>
      <c r="K27" s="63"/>
      <c r="L27" s="71"/>
      <c r="M27" s="71"/>
      <c r="N27" s="71"/>
    </row>
    <row r="28" spans="1:15" s="41" customFormat="1" ht="15.5" hidden="1" customHeight="1" x14ac:dyDescent="0.4">
      <c r="D28" s="87" t="s">
        <v>45</v>
      </c>
      <c r="E28" s="87"/>
      <c r="F28" s="52">
        <v>60</v>
      </c>
      <c r="G28" s="52" t="s">
        <v>25</v>
      </c>
      <c r="H28" s="60"/>
      <c r="I28" s="60"/>
      <c r="J28" s="60"/>
      <c r="K28" s="60"/>
    </row>
    <row r="29" spans="1:15" s="41" customFormat="1" ht="15.5" hidden="1" customHeight="1" x14ac:dyDescent="0.4">
      <c r="B29" s="44"/>
      <c r="C29" s="44"/>
      <c r="D29" s="87" t="s">
        <v>36</v>
      </c>
      <c r="E29" s="87"/>
      <c r="F29" s="72">
        <f>(F12-F10)/F18</f>
        <v>8.5493406093678934E-2</v>
      </c>
      <c r="G29" s="52" t="s">
        <v>23</v>
      </c>
      <c r="H29" s="60"/>
      <c r="I29" s="60"/>
      <c r="J29" s="60"/>
      <c r="K29" s="60"/>
    </row>
    <row r="30" spans="1:15" s="41" customFormat="1" ht="15.5" hidden="1" customHeight="1" x14ac:dyDescent="0.4">
      <c r="B30" s="44"/>
      <c r="C30" s="44"/>
      <c r="D30" s="87" t="s">
        <v>28</v>
      </c>
      <c r="E30" s="87"/>
      <c r="F30" s="73">
        <f>F20*F29+F10</f>
        <v>37.160184870312548</v>
      </c>
      <c r="G30" s="52" t="s">
        <v>22</v>
      </c>
      <c r="H30" s="60"/>
      <c r="I30" s="60"/>
      <c r="J30" s="60"/>
      <c r="K30" s="60"/>
    </row>
    <row r="31" spans="1:15" s="41" customFormat="1" ht="15.5" hidden="1" customHeight="1" x14ac:dyDescent="0.4">
      <c r="B31" s="44"/>
      <c r="C31" s="44"/>
      <c r="D31" s="87" t="s">
        <v>38</v>
      </c>
      <c r="E31" s="87"/>
      <c r="F31" s="74">
        <f>((F4+F5)-F12)*F7/((F4+F5)-(0.1*(F4-F5)+F5))/3</f>
        <v>103.88958594730239</v>
      </c>
      <c r="G31" s="52" t="s">
        <v>29</v>
      </c>
      <c r="H31" s="60"/>
      <c r="I31" s="60"/>
      <c r="J31" s="60"/>
      <c r="K31" s="60"/>
    </row>
    <row r="32" spans="1:15" s="41" customFormat="1" ht="15.5" hidden="1" customHeight="1" x14ac:dyDescent="0.4">
      <c r="B32" s="44"/>
      <c r="C32" s="44"/>
      <c r="D32" s="87" t="s">
        <v>39</v>
      </c>
      <c r="E32" s="87"/>
      <c r="F32" s="75">
        <f>(F31/1000)/F28</f>
        <v>1.7314930991217067E-3</v>
      </c>
      <c r="G32" s="52"/>
      <c r="H32" s="60"/>
      <c r="I32" s="60"/>
      <c r="J32" s="60"/>
      <c r="K32" s="60"/>
    </row>
    <row r="33" spans="2:12" s="41" customFormat="1" ht="15.5" hidden="1" customHeight="1" x14ac:dyDescent="0.4">
      <c r="B33" s="44"/>
      <c r="C33" s="44"/>
      <c r="D33" s="87" t="s">
        <v>40</v>
      </c>
      <c r="E33" s="87"/>
      <c r="F33" s="52" t="s">
        <v>41</v>
      </c>
      <c r="G33" s="60"/>
      <c r="H33" s="60"/>
      <c r="I33" s="60"/>
      <c r="J33" s="60"/>
      <c r="K33" s="60"/>
    </row>
    <row r="34" spans="2:12" s="41" customFormat="1" ht="15.5" hidden="1" customHeight="1" x14ac:dyDescent="0.4">
      <c r="B34" s="44"/>
      <c r="C34" s="44"/>
      <c r="D34" s="52">
        <v>25</v>
      </c>
      <c r="E34" s="52" t="s">
        <v>65</v>
      </c>
      <c r="F34" s="76">
        <v>1</v>
      </c>
      <c r="G34" s="60"/>
      <c r="H34" s="60"/>
      <c r="I34" s="60"/>
      <c r="J34" s="60"/>
      <c r="K34" s="60"/>
    </row>
    <row r="35" spans="2:12" s="41" customFormat="1" ht="15.5" hidden="1" customHeight="1" x14ac:dyDescent="0.4">
      <c r="B35" s="44"/>
      <c r="C35" s="44"/>
      <c r="D35" s="52">
        <v>175</v>
      </c>
      <c r="E35" s="52" t="s">
        <v>65</v>
      </c>
      <c r="F35" s="76">
        <v>0</v>
      </c>
      <c r="G35" s="60"/>
      <c r="H35" s="60"/>
      <c r="I35" s="60"/>
      <c r="J35" s="60"/>
      <c r="K35" s="60"/>
    </row>
    <row r="36" spans="2:12" s="41" customFormat="1" ht="15.5" hidden="1" customHeight="1" x14ac:dyDescent="0.4">
      <c r="B36" s="44"/>
      <c r="C36" s="44"/>
      <c r="D36" s="52">
        <f>F14</f>
        <v>25</v>
      </c>
      <c r="E36" s="52" t="s">
        <v>65</v>
      </c>
      <c r="F36" s="76">
        <f>IF((D36-D35)*(F35-F34)/(D35-D34)&lt;1,(D36-D35)*(F35-F34)/(D35-D34),1)</f>
        <v>1</v>
      </c>
      <c r="G36" s="60"/>
      <c r="H36" s="60"/>
      <c r="I36" s="60"/>
      <c r="J36" s="60"/>
      <c r="K36" s="60"/>
    </row>
    <row r="37" spans="2:12" s="41" customFormat="1" ht="19" customHeight="1" x14ac:dyDescent="0.4">
      <c r="B37" s="44"/>
      <c r="C37" s="44"/>
      <c r="D37" s="60"/>
      <c r="E37" s="60"/>
      <c r="F37" s="60"/>
      <c r="G37" s="60"/>
      <c r="H37" s="60"/>
      <c r="I37" s="60"/>
      <c r="J37" s="60"/>
      <c r="K37" s="60"/>
    </row>
    <row r="38" spans="2:12" s="41" customFormat="1" ht="19" customHeight="1" x14ac:dyDescent="0.4">
      <c r="B38" s="44"/>
      <c r="C38" s="44"/>
      <c r="D38" s="60"/>
      <c r="E38" s="60"/>
      <c r="F38" s="60"/>
      <c r="G38" s="60"/>
      <c r="H38" s="60"/>
      <c r="I38" s="60"/>
      <c r="J38" s="60"/>
      <c r="K38" s="60"/>
    </row>
    <row r="39" spans="2:12" s="41" customFormat="1" ht="19" customHeight="1" x14ac:dyDescent="0.4">
      <c r="B39" s="44"/>
      <c r="C39" s="44"/>
      <c r="D39" s="60"/>
      <c r="E39" s="60"/>
      <c r="F39" s="60"/>
      <c r="G39" s="60"/>
      <c r="H39" s="60"/>
      <c r="I39" s="60"/>
      <c r="J39" s="60"/>
      <c r="K39" s="52"/>
      <c r="L39" s="44"/>
    </row>
    <row r="41" spans="2:12" ht="19" customHeight="1" x14ac:dyDescent="0.4">
      <c r="K41" s="60"/>
      <c r="L41" s="41"/>
    </row>
    <row r="42" spans="2:12" s="41" customFormat="1" ht="19" customHeight="1" x14ac:dyDescent="0.4">
      <c r="B42" s="44"/>
      <c r="C42" s="44"/>
      <c r="D42" s="60"/>
      <c r="E42" s="60"/>
      <c r="F42" s="60"/>
      <c r="G42" s="60"/>
      <c r="H42" s="60"/>
      <c r="I42" s="60"/>
      <c r="J42" s="60"/>
      <c r="K42" s="60"/>
    </row>
    <row r="43" spans="2:12" s="41" customFormat="1" ht="19" customHeight="1" x14ac:dyDescent="0.4">
      <c r="B43" s="44"/>
      <c r="C43" s="44"/>
      <c r="D43" s="60"/>
      <c r="E43" s="60"/>
      <c r="F43" s="60"/>
      <c r="G43" s="60"/>
      <c r="H43" s="60"/>
      <c r="I43" s="60"/>
      <c r="J43" s="60"/>
      <c r="K43" s="60"/>
    </row>
    <row r="44" spans="2:12" s="41" customFormat="1" ht="19" customHeight="1" x14ac:dyDescent="0.4">
      <c r="B44" s="44"/>
      <c r="C44" s="44"/>
      <c r="D44" s="60"/>
      <c r="E44" s="60"/>
      <c r="F44" s="60"/>
      <c r="G44" s="60"/>
      <c r="H44" s="60"/>
      <c r="I44" s="60"/>
      <c r="J44" s="60"/>
      <c r="K44" s="60"/>
    </row>
    <row r="45" spans="2:12" s="41" customFormat="1" ht="19" customHeight="1" x14ac:dyDescent="0.4">
      <c r="B45" s="44"/>
      <c r="C45" s="44"/>
      <c r="D45" s="60"/>
      <c r="E45" s="60"/>
      <c r="F45" s="60"/>
      <c r="G45" s="60"/>
      <c r="H45" s="60"/>
      <c r="I45" s="60"/>
      <c r="J45" s="60"/>
      <c r="K45" s="60"/>
    </row>
    <row r="46" spans="2:12" s="41" customFormat="1" ht="19" customHeight="1" x14ac:dyDescent="0.4">
      <c r="B46" s="44"/>
      <c r="C46" s="44"/>
      <c r="D46" s="60"/>
      <c r="E46" s="60"/>
      <c r="F46" s="60"/>
      <c r="G46" s="60"/>
      <c r="H46" s="60"/>
      <c r="I46" s="60"/>
      <c r="J46" s="60"/>
      <c r="K46" s="60"/>
    </row>
    <row r="47" spans="2:12" s="41" customFormat="1" ht="19" customHeight="1" x14ac:dyDescent="0.4">
      <c r="B47" s="44"/>
      <c r="C47" s="44"/>
      <c r="D47" s="60"/>
      <c r="E47" s="60"/>
      <c r="F47" s="60"/>
      <c r="G47" s="60"/>
      <c r="H47" s="60"/>
      <c r="I47" s="60"/>
      <c r="J47" s="60"/>
      <c r="K47" s="60"/>
    </row>
    <row r="48" spans="2:12" s="41" customFormat="1" ht="19" customHeight="1" x14ac:dyDescent="0.4">
      <c r="B48" s="44"/>
      <c r="C48" s="44"/>
      <c r="D48" s="60"/>
      <c r="E48" s="60"/>
      <c r="F48" s="60"/>
      <c r="G48" s="60"/>
      <c r="H48" s="60"/>
      <c r="I48" s="60"/>
      <c r="J48" s="60"/>
      <c r="K48" s="52"/>
      <c r="L48" s="44"/>
    </row>
  </sheetData>
  <sheetProtection algorithmName="SHA-512" hashValue="3J8V+uXvj3Lh3HbvVqwjk6V1IGnkP966Jx+NuV6MMCCjXrqyO7v6BY4gdBOJ50UlZz7BBWyNRfuL93ezPHUV6A==" saltValue="AbUqOz0MJV2Sh+C1seVgTQ==" spinCount="100000" sheet="1" objects="1" scenarios="1" selectLockedCells="1"/>
  <mergeCells count="24">
    <mergeCell ref="I19:I20"/>
    <mergeCell ref="I24:I25"/>
    <mergeCell ref="D25:E25"/>
    <mergeCell ref="D23:E23"/>
    <mergeCell ref="D18:E18"/>
    <mergeCell ref="D20:E20"/>
    <mergeCell ref="G18:G20"/>
    <mergeCell ref="G23:G25"/>
    <mergeCell ref="D33:E33"/>
    <mergeCell ref="D29:E29"/>
    <mergeCell ref="D31:E31"/>
    <mergeCell ref="D30:E30"/>
    <mergeCell ref="D13:E13"/>
    <mergeCell ref="D28:E28"/>
    <mergeCell ref="D14:E14"/>
    <mergeCell ref="D6:E6"/>
    <mergeCell ref="D4:E4"/>
    <mergeCell ref="D5:E5"/>
    <mergeCell ref="D15:E15"/>
    <mergeCell ref="D32:E32"/>
    <mergeCell ref="D12:E12"/>
    <mergeCell ref="D7:E7"/>
    <mergeCell ref="D10:E10"/>
    <mergeCell ref="D11:E11"/>
  </mergeCells>
  <phoneticPr fontId="2" type="noConversion"/>
  <conditionalFormatting sqref="I19:I20 I24:I25">
    <cfRule type="containsText" dxfId="1" priority="1" operator="containsText" text="PASS">
      <formula>NOT(ISERROR(SEARCH("PASS",I19)))</formula>
    </cfRule>
    <cfRule type="containsText" dxfId="0" priority="2" operator="containsText" text="FAIL">
      <formula>NOT(ISERROR(SEARCH("FAIL",I19)))</formula>
    </cfRule>
  </conditionalFormatting>
  <dataValidations count="1">
    <dataValidation type="list" allowBlank="1" showInputMessage="1" showErrorMessage="1" sqref="F13">
      <formula1>"3600,4600,6600"</formula1>
    </dataValidation>
  </dataValidations>
  <pageMargins left="0.7" right="0.7" top="0.75" bottom="0.75" header="0.3" footer="0.3"/>
  <pageSetup paperSize="9" orientation="portrait" r:id="rId1"/>
  <ignoredErrors>
    <ignoredError sqref="F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27"/>
  <sheetViews>
    <sheetView zoomScale="70" zoomScaleNormal="70" workbookViewId="0">
      <selection activeCell="B16" sqref="B16"/>
    </sheetView>
  </sheetViews>
  <sheetFormatPr defaultRowHeight="15.5" x14ac:dyDescent="0.4"/>
  <cols>
    <col min="1" max="1" width="5.6328125" style="4" customWidth="1"/>
    <col min="2" max="2" width="23.6328125" style="4" customWidth="1"/>
    <col min="3" max="3" width="13.81640625" style="4" customWidth="1"/>
    <col min="4" max="4" width="9.81640625" style="4" customWidth="1"/>
    <col min="5" max="7" width="9.81640625" style="4" hidden="1" customWidth="1"/>
    <col min="8" max="8" width="8.7265625" style="4" hidden="1" customWidth="1"/>
    <col min="9" max="9" width="8.36328125" style="4" hidden="1" customWidth="1"/>
    <col min="10" max="10" width="11.6328125" style="4" hidden="1" customWidth="1"/>
    <col min="11" max="11" width="9.81640625" style="4" hidden="1" customWidth="1"/>
    <col min="12" max="12" width="8.7265625" style="4" hidden="1" customWidth="1"/>
    <col min="13" max="13" width="9.26953125" style="4" hidden="1" customWidth="1"/>
    <col min="14" max="14" width="8.7265625" style="4" hidden="1" customWidth="1"/>
    <col min="15" max="15" width="9.26953125" style="4" hidden="1" customWidth="1"/>
    <col min="16" max="16" width="8.7265625" style="4" hidden="1" customWidth="1"/>
    <col min="17" max="17" width="9.26953125" style="4" hidden="1" customWidth="1"/>
    <col min="18" max="21" width="9.81640625" style="4" hidden="1" customWidth="1"/>
    <col min="22" max="24" width="9.81640625" style="4" customWidth="1"/>
    <col min="25" max="25" width="9.7265625" style="4" hidden="1" customWidth="1"/>
    <col min="26" max="26" width="21.26953125" style="4" hidden="1" customWidth="1"/>
    <col min="27" max="27" width="13.26953125" style="4" hidden="1" customWidth="1"/>
    <col min="28" max="33" width="9.81640625" style="4" hidden="1" customWidth="1"/>
    <col min="34" max="35" width="9.453125" style="4" hidden="1" customWidth="1"/>
    <col min="36" max="36" width="13.54296875" style="4" customWidth="1"/>
    <col min="37" max="37" width="15.81640625" style="4" customWidth="1"/>
    <col min="38" max="38" width="15.08984375" style="4" customWidth="1"/>
    <col min="39" max="39" width="14.6328125" style="4" customWidth="1"/>
    <col min="40" max="40" width="14.1796875" style="4" customWidth="1"/>
    <col min="41" max="41" width="17" style="4" customWidth="1"/>
    <col min="42" max="42" width="15.90625" style="4" customWidth="1"/>
    <col min="43" max="43" width="9.54296875" style="4" bestFit="1" customWidth="1"/>
    <col min="44" max="48" width="8.7265625" style="4"/>
    <col min="49" max="54" width="0" style="4" hidden="1" customWidth="1"/>
    <col min="55" max="55" width="11.453125" style="4" hidden="1" customWidth="1"/>
    <col min="56" max="60" width="0" style="4" hidden="1" customWidth="1"/>
    <col min="61" max="61" width="8.7265625" style="4"/>
    <col min="62" max="62" width="9" style="4" bestFit="1" customWidth="1"/>
    <col min="63" max="63" width="12.26953125" style="4" customWidth="1"/>
    <col min="64" max="16384" width="8.7265625" style="4"/>
  </cols>
  <sheetData>
    <row r="2" spans="2:59" x14ac:dyDescent="0.4">
      <c r="B2" s="17"/>
      <c r="C2" s="17"/>
    </row>
    <row r="3" spans="2:59" ht="17" x14ac:dyDescent="0.4">
      <c r="C3" s="18"/>
      <c r="D3" s="18"/>
      <c r="E3" s="18"/>
    </row>
    <row r="4" spans="2:59" ht="17" x14ac:dyDescent="0.4">
      <c r="B4" s="19" t="s">
        <v>0</v>
      </c>
      <c r="C4" s="92" t="s">
        <v>42</v>
      </c>
      <c r="D4" s="93"/>
    </row>
    <row r="5" spans="2:59" ht="21" customHeight="1" x14ac:dyDescent="0.4">
      <c r="B5" s="19" t="s">
        <v>1</v>
      </c>
      <c r="C5" s="94"/>
      <c r="D5" s="94"/>
      <c r="AJ5" s="2"/>
      <c r="AK5" s="3" t="s">
        <v>2</v>
      </c>
      <c r="AL5" s="3" t="s">
        <v>3</v>
      </c>
    </row>
    <row r="6" spans="2:59" ht="17" x14ac:dyDescent="0.4">
      <c r="B6" s="19" t="s">
        <v>4</v>
      </c>
      <c r="C6" s="93"/>
      <c r="D6" s="93"/>
      <c r="AJ6" s="2" t="s">
        <v>5</v>
      </c>
      <c r="AK6" s="2">
        <f>'TVS tool for load dump 5a'!F11</f>
        <v>26.7</v>
      </c>
      <c r="AL6" s="2">
        <f>'TVS tool for load dump 5a'!F10</f>
        <v>29.5</v>
      </c>
    </row>
    <row r="7" spans="2:59" ht="17" x14ac:dyDescent="0.4">
      <c r="B7" s="19" t="s">
        <v>6</v>
      </c>
      <c r="C7" s="93"/>
      <c r="D7" s="93"/>
    </row>
    <row r="8" spans="2:59" x14ac:dyDescent="0.4">
      <c r="AJ8" s="4" t="s">
        <v>7</v>
      </c>
    </row>
    <row r="9" spans="2:59" ht="30" customHeight="1" x14ac:dyDescent="0.4">
      <c r="AJ9" s="5" t="s">
        <v>8</v>
      </c>
      <c r="AK9" s="3" t="s">
        <v>33</v>
      </c>
      <c r="AL9" s="6" t="s">
        <v>30</v>
      </c>
      <c r="AM9" s="6" t="s">
        <v>31</v>
      </c>
      <c r="AN9" s="3" t="s">
        <v>9</v>
      </c>
      <c r="AO9" s="3" t="s">
        <v>10</v>
      </c>
      <c r="AP9" s="6" t="s">
        <v>11</v>
      </c>
      <c r="AQ9" s="6" t="s">
        <v>12</v>
      </c>
      <c r="AR9" s="6" t="s">
        <v>13</v>
      </c>
      <c r="AS9" s="20"/>
      <c r="AT9" s="21"/>
      <c r="AW9" s="95" t="s">
        <v>14</v>
      </c>
      <c r="AX9" s="95"/>
      <c r="AZ9" s="95" t="s">
        <v>15</v>
      </c>
      <c r="BA9" s="95"/>
      <c r="BC9" s="96" t="s">
        <v>30</v>
      </c>
      <c r="BD9" s="95"/>
      <c r="BF9" s="96" t="s">
        <v>31</v>
      </c>
      <c r="BG9" s="95"/>
    </row>
    <row r="10" spans="2:59" x14ac:dyDescent="0.4">
      <c r="AJ10" s="7" t="s">
        <v>17</v>
      </c>
      <c r="AK10" s="7"/>
      <c r="AL10" s="3">
        <v>1</v>
      </c>
      <c r="AM10" s="8"/>
      <c r="AN10" s="2">
        <v>38.9</v>
      </c>
      <c r="AO10" s="9">
        <f>工作表2!L12</f>
        <v>170</v>
      </c>
      <c r="AP10" s="8">
        <f>AN10*AO10</f>
        <v>6613</v>
      </c>
      <c r="AQ10" s="10">
        <f>AP10/1000</f>
        <v>6.6130000000000004</v>
      </c>
      <c r="AR10" s="11">
        <f>(AN10-AL6)/AO10</f>
        <v>5.5294117647058813E-2</v>
      </c>
      <c r="AS10" s="22"/>
      <c r="AW10" s="97" t="s">
        <v>16</v>
      </c>
      <c r="AX10" s="98"/>
      <c r="AZ10" s="97" t="s">
        <v>16</v>
      </c>
      <c r="BA10" s="98"/>
      <c r="BC10" s="97" t="s">
        <v>16</v>
      </c>
      <c r="BD10" s="98"/>
      <c r="BF10" s="97" t="s">
        <v>16</v>
      </c>
      <c r="BG10" s="98"/>
    </row>
    <row r="11" spans="2:59" x14ac:dyDescent="0.4">
      <c r="AJ11" s="7" t="s">
        <v>32</v>
      </c>
      <c r="AK11" s="7"/>
      <c r="AL11" s="3">
        <v>10</v>
      </c>
      <c r="AM11" s="8"/>
      <c r="AN11" s="12">
        <v>38</v>
      </c>
      <c r="AO11" s="9">
        <f>工作表2!M12</f>
        <v>137</v>
      </c>
      <c r="AP11" s="13">
        <f>AN11*AO11</f>
        <v>5206</v>
      </c>
      <c r="AQ11" s="10">
        <f>AP11/1000</f>
        <v>5.2060000000000004</v>
      </c>
      <c r="AR11" s="11">
        <f>(AN11-AL6)/AO11</f>
        <v>6.2043795620437957E-2</v>
      </c>
      <c r="AS11" s="22"/>
      <c r="AW11" s="97" t="s">
        <v>18</v>
      </c>
      <c r="AX11" s="98"/>
      <c r="AZ11" s="97" t="s">
        <v>18</v>
      </c>
      <c r="BA11" s="98"/>
      <c r="BC11" s="97" t="s">
        <v>18</v>
      </c>
      <c r="BD11" s="98"/>
      <c r="BF11" s="97" t="s">
        <v>18</v>
      </c>
      <c r="BG11" s="98"/>
    </row>
    <row r="12" spans="2:59" x14ac:dyDescent="0.4">
      <c r="AJ12" s="14" t="s">
        <v>20</v>
      </c>
      <c r="AK12" s="14" t="s">
        <v>34</v>
      </c>
      <c r="AL12" s="13">
        <v>26.4</v>
      </c>
      <c r="AM12" s="8">
        <v>91.2</v>
      </c>
      <c r="AN12" s="12">
        <v>38</v>
      </c>
      <c r="AO12" s="9">
        <f>工作表2!N12</f>
        <v>114</v>
      </c>
      <c r="AP12" s="13">
        <f>AN12*AO12</f>
        <v>4332</v>
      </c>
      <c r="AQ12" s="10">
        <f>AP12/1000</f>
        <v>4.3319999999999999</v>
      </c>
      <c r="AR12" s="11">
        <f>(AN12-AL6)/AO12</f>
        <v>7.4561403508771926E-2</v>
      </c>
      <c r="AS12" s="22"/>
      <c r="AW12" s="2" t="s">
        <v>19</v>
      </c>
      <c r="AX12" s="2">
        <f>(LOG(AQ12)-LOG(AQ13))/(LOG($AL$12)-LOG($AL$13))</f>
        <v>-0.15670574080570795</v>
      </c>
      <c r="AZ12" s="2" t="s">
        <v>19</v>
      </c>
      <c r="BA12" s="2">
        <f>(LOG(AO12)-LOG(AO13))/(LOG($AL$12)-LOG($AL$13))</f>
        <v>-0.15670574080570743</v>
      </c>
      <c r="BC12" s="2" t="s">
        <v>19</v>
      </c>
      <c r="BD12" s="23">
        <f>(LOG(AL12)-LOG(AL13))/(LOG($AM$12)-LOG($AM$13))</f>
        <v>0.62810331272963904</v>
      </c>
      <c r="BF12" s="2" t="s">
        <v>19</v>
      </c>
      <c r="BG12" s="23">
        <f>(LOG(AM12)-LOG(AM13))/(LOG($AK$12)-LOG($AK$13))</f>
        <v>1.0664669087583694</v>
      </c>
    </row>
    <row r="13" spans="2:59" x14ac:dyDescent="0.4">
      <c r="AJ13" s="14" t="s">
        <v>20</v>
      </c>
      <c r="AK13" s="14" t="s">
        <v>35</v>
      </c>
      <c r="AL13" s="13">
        <v>42</v>
      </c>
      <c r="AM13" s="8">
        <v>191</v>
      </c>
      <c r="AN13" s="12">
        <v>38</v>
      </c>
      <c r="AO13" s="9">
        <f>工作表2!O12</f>
        <v>106</v>
      </c>
      <c r="AP13" s="13">
        <f>AN13*AO13</f>
        <v>4028</v>
      </c>
      <c r="AQ13" s="10">
        <f>AP13/1000</f>
        <v>4.0279999999999996</v>
      </c>
      <c r="AR13" s="11">
        <f>(AN13-AL6)/AO13</f>
        <v>8.0188679245283015E-2</v>
      </c>
      <c r="AS13" s="22"/>
      <c r="AW13" s="2" t="s">
        <v>21</v>
      </c>
      <c r="AX13" s="2">
        <f>LOG(AQ13)-AX12*LOG($AL$13)</f>
        <v>0.85946194444572299</v>
      </c>
      <c r="AZ13" s="2" t="s">
        <v>21</v>
      </c>
      <c r="BA13" s="2">
        <f>LOG(AO13)-BA12*LOG($AL$13)</f>
        <v>2.2796783478289124</v>
      </c>
      <c r="BC13" s="2" t="s">
        <v>21</v>
      </c>
      <c r="BD13" s="23">
        <f>LOG(AL13)-BD12*LOG($AM$13)</f>
        <v>0.19052467598275946</v>
      </c>
      <c r="BF13" s="2" t="s">
        <v>21</v>
      </c>
      <c r="BG13" s="23">
        <f>LOG(AM13)-BG12*LOG($AK$13)</f>
        <v>-0.49397750810763386</v>
      </c>
    </row>
    <row r="14" spans="2:59" x14ac:dyDescent="0.4">
      <c r="AJ14" s="14" t="s">
        <v>20</v>
      </c>
      <c r="AK14" s="15" t="s">
        <v>37</v>
      </c>
      <c r="AL14" s="13">
        <v>130</v>
      </c>
      <c r="AM14" s="15" t="s">
        <v>37</v>
      </c>
      <c r="AN14" s="12">
        <f>'TVS tool for load dump 5a'!F12</f>
        <v>38.9</v>
      </c>
      <c r="AO14" s="9">
        <f>ROUND(AP14/AN14,2)</f>
        <v>86.74</v>
      </c>
      <c r="AP14" s="13">
        <f>AQ14*1000</f>
        <v>3374</v>
      </c>
      <c r="AQ14" s="28">
        <f>ROUND(10^($AX$13+$AX$12*LOG(AL14)),3)</f>
        <v>3.3740000000000001</v>
      </c>
      <c r="AR14" s="11">
        <f>(AN14-AL6)/AO14</f>
        <v>0.10836984090385057</v>
      </c>
      <c r="AS14" s="22"/>
      <c r="BD14" s="27"/>
      <c r="BG14" s="27"/>
    </row>
    <row r="15" spans="2:59" x14ac:dyDescent="0.4">
      <c r="AJ15" s="26" t="s">
        <v>20</v>
      </c>
      <c r="AK15" s="1">
        <v>300</v>
      </c>
      <c r="AL15" s="13">
        <f>ROUND(10^($BD$13+$BD$12*LOG(AM15)),3)</f>
        <v>34.639000000000003</v>
      </c>
      <c r="AM15" s="8">
        <f>ROUND(10^($BG$13+$BG$12*LOG(AK15)),3)</f>
        <v>140.53700000000001</v>
      </c>
      <c r="AN15" s="2">
        <f>'TVS tool for load dump 5a'!F12</f>
        <v>38.9</v>
      </c>
      <c r="AO15" s="9">
        <f>ROUND(AP15/AN15,2)</f>
        <v>106.71</v>
      </c>
      <c r="AP15" s="13">
        <f>AQ15*1000</f>
        <v>4151</v>
      </c>
      <c r="AQ15" s="3">
        <f>ROUND(10^($AX$13+$AX$12*LOG(AL15)),3)</f>
        <v>4.1509999999999998</v>
      </c>
      <c r="AR15" s="11">
        <f>(AN15-AL6)/AO15</f>
        <v>8.8089213756911242E-2</v>
      </c>
      <c r="AS15" s="22"/>
    </row>
    <row r="16" spans="2:59" x14ac:dyDescent="0.4">
      <c r="AJ16" s="14" t="s">
        <v>20</v>
      </c>
      <c r="AK16" s="15" t="s">
        <v>37</v>
      </c>
      <c r="AL16" s="13">
        <f>ROUND(IF(10^($BD$13+$BD$12*LOG(AM16))&gt;1,10^($BD$13+$BD$12*LOG(AM16)),1),3)</f>
        <v>28.651</v>
      </c>
      <c r="AM16" s="8">
        <f>'TVS tool for load dump 5a'!F31</f>
        <v>103.88958594730239</v>
      </c>
      <c r="AN16" s="16">
        <f>'TVS tool for load dump 5a'!F12</f>
        <v>38.9</v>
      </c>
      <c r="AO16" s="9">
        <f>ROUND(AP16/AN16,2)</f>
        <v>109.95</v>
      </c>
      <c r="AP16" s="13">
        <f>AQ16*1000</f>
        <v>4277</v>
      </c>
      <c r="AQ16" s="3">
        <f>ROUND(IF(10^($AX$13+$AX$12*LOG(AL16))&lt;AQ17,10^($AX$13+$AX$12*LOG(AL16)),AQ17),3)</f>
        <v>4.2770000000000001</v>
      </c>
      <c r="AR16" s="11">
        <f>(AN16-AL6)/AO16</f>
        <v>8.5493406093678934E-2</v>
      </c>
      <c r="AS16" s="22"/>
    </row>
    <row r="17" spans="36:44" ht="17" x14ac:dyDescent="0.4">
      <c r="AJ17" s="90" t="s">
        <v>44</v>
      </c>
      <c r="AK17" s="91"/>
      <c r="AL17" s="29">
        <f>IF((AL16)&lt;10,(AL16),10)</f>
        <v>10</v>
      </c>
      <c r="AM17" s="30"/>
      <c r="AN17" s="30">
        <f>AN16</f>
        <v>38.9</v>
      </c>
      <c r="AO17" s="31">
        <f>(AL17-AL11)*(AO11-AO10)/(AL11-AL10)+AO11</f>
        <v>137</v>
      </c>
      <c r="AP17" s="32">
        <f>(AL17-AL11)*(AP11-AP10)/(AL11-AL10)+AP11</f>
        <v>5206</v>
      </c>
      <c r="AQ17" s="33">
        <f>(AL17-AL11)*(AQ11-AQ10)/(AL11-AL10)+AQ11</f>
        <v>5.2060000000000004</v>
      </c>
      <c r="AR17" s="34">
        <f>(AN17-AL6)/AO17</f>
        <v>6.8613138686131378E-2</v>
      </c>
    </row>
    <row r="24" spans="36:44" x14ac:dyDescent="0.4">
      <c r="AM24" s="24"/>
      <c r="AN24" s="25"/>
    </row>
    <row r="25" spans="36:44" x14ac:dyDescent="0.4">
      <c r="AM25" s="24"/>
      <c r="AN25" s="25"/>
    </row>
    <row r="26" spans="36:44" x14ac:dyDescent="0.4">
      <c r="AM26" s="24"/>
      <c r="AN26" s="25"/>
    </row>
    <row r="27" spans="36:44" x14ac:dyDescent="0.4">
      <c r="AM27" s="24"/>
      <c r="AN27" s="25"/>
    </row>
  </sheetData>
  <mergeCells count="17">
    <mergeCell ref="AW9:AX9"/>
    <mergeCell ref="BF9:BG9"/>
    <mergeCell ref="BC9:BD9"/>
    <mergeCell ref="AZ9:BA9"/>
    <mergeCell ref="BF11:BG11"/>
    <mergeCell ref="BC11:BD11"/>
    <mergeCell ref="AZ11:BA11"/>
    <mergeCell ref="AW11:AX11"/>
    <mergeCell ref="BF10:BG10"/>
    <mergeCell ref="BC10:BD10"/>
    <mergeCell ref="AZ10:BA10"/>
    <mergeCell ref="AW10:AX10"/>
    <mergeCell ref="AJ17:AK17"/>
    <mergeCell ref="C4:D4"/>
    <mergeCell ref="C5:D5"/>
    <mergeCell ref="C6:D6"/>
    <mergeCell ref="C7:D7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P21"/>
  <sheetViews>
    <sheetView topLeftCell="C1" workbookViewId="0">
      <selection activeCell="B16" sqref="B16"/>
    </sheetView>
  </sheetViews>
  <sheetFormatPr defaultRowHeight="17" x14ac:dyDescent="0.4"/>
  <cols>
    <col min="4" max="4" width="9.1796875" bestFit="1" customWidth="1"/>
    <col min="9" max="9" width="28.36328125" customWidth="1"/>
    <col min="10" max="10" width="17.7265625" customWidth="1"/>
    <col min="13" max="13" width="11" customWidth="1"/>
    <col min="16" max="16" width="20.08984375" customWidth="1"/>
  </cols>
  <sheetData>
    <row r="10" spans="4:16" x14ac:dyDescent="0.4">
      <c r="D10" s="35"/>
      <c r="E10" s="35"/>
      <c r="F10" s="35"/>
      <c r="G10" s="35"/>
      <c r="H10" s="35"/>
      <c r="I10" s="35"/>
      <c r="J10" s="35"/>
    </row>
    <row r="11" spans="4:16" x14ac:dyDescent="0.4">
      <c r="D11" s="35" t="s">
        <v>47</v>
      </c>
      <c r="E11" s="99" t="s">
        <v>46</v>
      </c>
      <c r="F11" s="99"/>
      <c r="G11" s="99"/>
      <c r="H11" s="99"/>
      <c r="I11" s="35"/>
      <c r="J11" s="35"/>
    </row>
    <row r="12" spans="4:16" x14ac:dyDescent="0.4">
      <c r="D12" s="35">
        <v>3600</v>
      </c>
      <c r="E12" s="35">
        <v>93</v>
      </c>
      <c r="F12" s="35">
        <v>74</v>
      </c>
      <c r="G12" s="35">
        <v>61.6</v>
      </c>
      <c r="H12" s="35">
        <v>57.2</v>
      </c>
      <c r="I12" s="36" t="s">
        <v>77</v>
      </c>
      <c r="J12" s="35"/>
      <c r="K12" s="37">
        <f>'TVS tool for load dump 5a'!F13</f>
        <v>6600</v>
      </c>
      <c r="L12" s="35">
        <f>LOOKUP(2,1/($D$12:$D$14=K12),($E$12:$E$14))</f>
        <v>170</v>
      </c>
      <c r="M12" s="35">
        <f>LOOKUP(2,1/($D$12:$D$14=K12),($F$12:$F$14))</f>
        <v>137</v>
      </c>
      <c r="N12" s="35">
        <f>LOOKUP(2,1/($D$12:$D$14=K12),($G$12:$G$14))</f>
        <v>114</v>
      </c>
      <c r="O12" s="35">
        <f>LOOKUP(2,1/($D$12:$D$14=K12),($H$12:$H$14))</f>
        <v>106</v>
      </c>
      <c r="P12" s="35" t="str">
        <f>LOOKUP(2,1/($D$12:$D$14=K12),($I$12:$I$14))</f>
        <v>SM8S Series (20~24V) DO-218AB Package</v>
      </c>
    </row>
    <row r="13" spans="4:16" x14ac:dyDescent="0.4">
      <c r="D13" s="35">
        <v>4600</v>
      </c>
      <c r="E13" s="35">
        <v>118</v>
      </c>
      <c r="F13" s="35">
        <v>95</v>
      </c>
      <c r="G13" s="35">
        <v>79</v>
      </c>
      <c r="H13" s="35">
        <v>73.5</v>
      </c>
      <c r="I13" s="36" t="s">
        <v>78</v>
      </c>
      <c r="J13" s="35"/>
      <c r="K13" s="35"/>
    </row>
    <row r="14" spans="4:16" x14ac:dyDescent="0.4">
      <c r="D14" s="35">
        <v>6600</v>
      </c>
      <c r="E14" s="35">
        <v>170</v>
      </c>
      <c r="F14" s="35">
        <v>137</v>
      </c>
      <c r="G14" s="35">
        <v>114</v>
      </c>
      <c r="H14" s="35">
        <v>106</v>
      </c>
      <c r="I14" s="36" t="s">
        <v>79</v>
      </c>
      <c r="J14" s="35"/>
    </row>
    <row r="15" spans="4:16" x14ac:dyDescent="0.4">
      <c r="I15" s="35"/>
    </row>
    <row r="18" spans="3:8" x14ac:dyDescent="0.4">
      <c r="D18" s="99"/>
      <c r="E18" s="99"/>
      <c r="F18" s="99"/>
      <c r="G18" s="100"/>
      <c r="H18" s="35"/>
    </row>
    <row r="19" spans="3:8" x14ac:dyDescent="0.4">
      <c r="C19" s="35"/>
      <c r="D19" s="99"/>
      <c r="E19" s="99"/>
      <c r="F19" s="99"/>
      <c r="G19" s="99"/>
    </row>
    <row r="20" spans="3:8" x14ac:dyDescent="0.4">
      <c r="C20" s="35"/>
      <c r="D20" s="99"/>
      <c r="E20" s="99"/>
      <c r="F20" s="99"/>
      <c r="G20" s="99"/>
    </row>
    <row r="21" spans="3:8" x14ac:dyDescent="0.4">
      <c r="C21" s="35"/>
      <c r="D21" s="99"/>
      <c r="E21" s="99"/>
      <c r="F21" s="99"/>
      <c r="G21" s="99"/>
    </row>
  </sheetData>
  <mergeCells count="9">
    <mergeCell ref="D21:E21"/>
    <mergeCell ref="F21:G21"/>
    <mergeCell ref="D20:E20"/>
    <mergeCell ref="F20:G20"/>
    <mergeCell ref="E11:H11"/>
    <mergeCell ref="D18:E18"/>
    <mergeCell ref="F18:G18"/>
    <mergeCell ref="D19:E19"/>
    <mergeCell ref="F19:G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TVS tool for load dump 5a</vt:lpstr>
      <vt:lpstr>SUMMARY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PANJIT International Inc.</dc:creator>
  <cp:lastModifiedBy>katyyu 余珮儒</cp:lastModifiedBy>
  <dcterms:created xsi:type="dcterms:W3CDTF">2025-06-26T05:45:49Z</dcterms:created>
  <dcterms:modified xsi:type="dcterms:W3CDTF">2025-11-11T07:42:46Z</dcterms:modified>
</cp:coreProperties>
</file>